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audre\Documents\1 GWT\UAA\Derek - Jack\Business Case IVM\Final Versions\Finals\"/>
    </mc:Choice>
  </mc:AlternateContent>
  <xr:revisionPtr revIDLastSave="0" documentId="8_{879725A7-636C-4350-8B04-61A6B67A35DF}" xr6:coauthVersionLast="47" xr6:coauthVersionMax="47" xr10:uidLastSave="{00000000-0000-0000-0000-000000000000}"/>
  <bookViews>
    <workbookView xWindow="1224" yWindow="-96" windowWidth="21912" windowHeight="13152" activeTab="3" xr2:uid="{00000000-000D-0000-FFFF-FFFF00000000}"/>
  </bookViews>
  <sheets>
    <sheet name="Index &amp; Definitions" sheetId="1" r:id="rId1"/>
    <sheet name="Summary Financial Comparisons" sheetId="2" r:id="rId2"/>
    <sheet name="Calculations" sheetId="3" r:id="rId3"/>
    <sheet name="SQ Mgmt" sheetId="4" r:id="rId4"/>
    <sheet name="Alt 1 Mgmt" sheetId="5" r:id="rId5"/>
    <sheet name="Alt 2 Mgmt" sheetId="6" r:id="rId6"/>
    <sheet name="Alt 3 Mgmt" sheetId="7" r:id="rId7"/>
    <sheet name="Alt 4 Mgmt" sheetId="8" r:id="rId8"/>
    <sheet name="Alt 5 Mgmt" sheetId="9" r:id="rId9"/>
  </sheets>
  <externalReferences>
    <externalReference r:id="rId10"/>
    <externalReference r:id="rId11"/>
    <externalReference r:id="rId12"/>
    <externalReference r:id="rId13"/>
    <externalReference r:id="rId14"/>
    <externalReference r:id="rId15"/>
  </externalReferences>
  <definedNames>
    <definedName name="DR">'Summary Financial Comparisons'!$C$4</definedName>
    <definedName name="Inf">'Summary Financial Comparisons'!$C$5</definedName>
    <definedName name="SP">'Summary Financial Comparisons'!$F$4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9" l="1"/>
  <c r="A16" i="9" a="1"/>
  <c r="A16" i="9" s="1"/>
  <c r="A16" i="8" a="1"/>
  <c r="A16" i="8" s="1"/>
  <c r="A16" i="7" a="1"/>
  <c r="A16" i="7" s="1"/>
  <c r="A16" i="6" a="1"/>
  <c r="A16" i="6" s="1"/>
  <c r="A16" i="5" a="1"/>
  <c r="A16" i="5" s="1"/>
  <c r="A12" i="4" a="1"/>
  <c r="A12" i="4" s="1"/>
  <c r="A15" i="3" a="1"/>
  <c r="A15" i="3" s="1"/>
  <c r="S36" i="9"/>
  <c r="S35" i="9"/>
  <c r="S34" i="9"/>
  <c r="S24" i="9"/>
  <c r="S23" i="9"/>
  <c r="S22" i="9"/>
  <c r="S16" i="9" a="1"/>
  <c r="S45" i="9" s="1"/>
  <c r="M45" i="9"/>
  <c r="M33" i="9"/>
  <c r="M21" i="9"/>
  <c r="M16" i="9" a="1"/>
  <c r="M44" i="9" s="1"/>
  <c r="H4" i="9"/>
  <c r="D4" i="9"/>
  <c r="H3" i="9"/>
  <c r="D3" i="9"/>
  <c r="S45" i="8"/>
  <c r="S44" i="8"/>
  <c r="S43" i="8"/>
  <c r="S42" i="8"/>
  <c r="S41" i="8"/>
  <c r="S39" i="8"/>
  <c r="S38" i="8"/>
  <c r="S34" i="8"/>
  <c r="S33" i="8"/>
  <c r="S32" i="8"/>
  <c r="S31" i="8"/>
  <c r="S30" i="8"/>
  <c r="S29" i="8"/>
  <c r="S27" i="8"/>
  <c r="S26" i="8"/>
  <c r="S22" i="8"/>
  <c r="S21" i="8"/>
  <c r="S20" i="8"/>
  <c r="S19" i="8"/>
  <c r="S18" i="8"/>
  <c r="S17" i="8"/>
  <c r="S16" i="8" a="1"/>
  <c r="S40" i="8" s="1"/>
  <c r="S16" i="8"/>
  <c r="M17" i="8"/>
  <c r="M16" i="8" a="1"/>
  <c r="D5" i="8"/>
  <c r="H4" i="8"/>
  <c r="D4" i="8"/>
  <c r="H3" i="8"/>
  <c r="D3" i="8"/>
  <c r="S44" i="7"/>
  <c r="S43" i="7"/>
  <c r="S42" i="7"/>
  <c r="S41" i="7"/>
  <c r="S39" i="7"/>
  <c r="S37" i="7"/>
  <c r="S35" i="7"/>
  <c r="S34" i="7"/>
  <c r="S32" i="7"/>
  <c r="S31" i="7"/>
  <c r="S30" i="7"/>
  <c r="S29" i="7"/>
  <c r="S27" i="7"/>
  <c r="S25" i="7"/>
  <c r="S23" i="7"/>
  <c r="S22" i="7"/>
  <c r="S20" i="7"/>
  <c r="S19" i="7"/>
  <c r="S18" i="7"/>
  <c r="S17" i="7"/>
  <c r="S16" i="7" a="1"/>
  <c r="S40" i="7" s="1"/>
  <c r="S16" i="7"/>
  <c r="M29" i="7"/>
  <c r="M16" i="7" a="1"/>
  <c r="M38" i="7" s="1"/>
  <c r="D5" i="7"/>
  <c r="H4" i="7"/>
  <c r="D4" i="7"/>
  <c r="H3" i="7"/>
  <c r="D3" i="7"/>
  <c r="S42" i="6"/>
  <c r="S35" i="6"/>
  <c r="S22" i="6"/>
  <c r="S16" i="6" a="1"/>
  <c r="M44" i="6"/>
  <c r="M41" i="6"/>
  <c r="M39" i="6"/>
  <c r="M37" i="6"/>
  <c r="M36" i="6"/>
  <c r="M35" i="6"/>
  <c r="M32" i="6"/>
  <c r="M29" i="6"/>
  <c r="M25" i="6"/>
  <c r="M23" i="6"/>
  <c r="M20" i="6"/>
  <c r="M19" i="6"/>
  <c r="M18" i="6"/>
  <c r="M17" i="6"/>
  <c r="M16" i="6" a="1"/>
  <c r="M30" i="6" s="1"/>
  <c r="D5" i="6"/>
  <c r="H4" i="6"/>
  <c r="D4" i="6"/>
  <c r="H3" i="6"/>
  <c r="D3" i="6"/>
  <c r="S45" i="5"/>
  <c r="S44" i="5"/>
  <c r="S43" i="5"/>
  <c r="S42" i="5"/>
  <c r="S41" i="5"/>
  <c r="S39" i="5"/>
  <c r="S37" i="5"/>
  <c r="S36" i="5"/>
  <c r="S34" i="5"/>
  <c r="S33" i="5"/>
  <c r="S32" i="5"/>
  <c r="S31" i="5"/>
  <c r="S30" i="5"/>
  <c r="S29" i="5"/>
  <c r="S27" i="5"/>
  <c r="S25" i="5"/>
  <c r="S24" i="5"/>
  <c r="S22" i="5"/>
  <c r="S21" i="5"/>
  <c r="S20" i="5"/>
  <c r="S19" i="5"/>
  <c r="S18" i="5"/>
  <c r="S17" i="5"/>
  <c r="S16" i="5" a="1"/>
  <c r="S40" i="5" s="1"/>
  <c r="S16" i="5"/>
  <c r="M42" i="5"/>
  <c r="M36" i="5"/>
  <c r="M33" i="5"/>
  <c r="M19" i="5"/>
  <c r="M16" i="5" a="1"/>
  <c r="M39" i="5" s="1"/>
  <c r="D5" i="5"/>
  <c r="H4" i="5"/>
  <c r="D4" i="5"/>
  <c r="H3" i="5"/>
  <c r="D3" i="5"/>
  <c r="S41" i="4"/>
  <c r="S39" i="4"/>
  <c r="S37" i="4"/>
  <c r="S35" i="4"/>
  <c r="S34" i="4"/>
  <c r="S31" i="4"/>
  <c r="S29" i="4"/>
  <c r="S27" i="4"/>
  <c r="S25" i="4"/>
  <c r="S23" i="4"/>
  <c r="S22" i="4"/>
  <c r="S18" i="4"/>
  <c r="S17" i="4"/>
  <c r="S16" i="4"/>
  <c r="S13" i="4"/>
  <c r="S12" i="4" a="1"/>
  <c r="S12" i="4"/>
  <c r="M39" i="4"/>
  <c r="M38" i="4"/>
  <c r="M36" i="4"/>
  <c r="M32" i="4"/>
  <c r="M28" i="4"/>
  <c r="M26" i="4"/>
  <c r="M24" i="4"/>
  <c r="M22" i="4"/>
  <c r="M20" i="4"/>
  <c r="M15" i="4"/>
  <c r="M13" i="4"/>
  <c r="M12" i="4" a="1"/>
  <c r="M40" i="4" s="1"/>
  <c r="D5" i="4"/>
  <c r="H4" i="4"/>
  <c r="D4" i="4"/>
  <c r="H3" i="4"/>
  <c r="D3" i="4"/>
  <c r="J17" i="2"/>
  <c r="I7" i="2"/>
  <c r="H7" i="2"/>
  <c r="G7" i="2"/>
  <c r="M25" i="4" l="1"/>
  <c r="S33" i="4"/>
  <c r="S21" i="4"/>
  <c r="S32" i="4"/>
  <c r="S20" i="4"/>
  <c r="S38" i="4"/>
  <c r="S26" i="4"/>
  <c r="S14" i="4"/>
  <c r="S28" i="4"/>
  <c r="M16" i="5"/>
  <c r="M37" i="5"/>
  <c r="M25" i="5"/>
  <c r="M35" i="5"/>
  <c r="M23" i="5"/>
  <c r="M34" i="5"/>
  <c r="M22" i="5"/>
  <c r="M44" i="5"/>
  <c r="M32" i="5"/>
  <c r="M20" i="5"/>
  <c r="M29" i="5"/>
  <c r="M45" i="5"/>
  <c r="M28" i="5"/>
  <c r="M38" i="5"/>
  <c r="M18" i="5"/>
  <c r="M40" i="5"/>
  <c r="M30" i="4"/>
  <c r="M18" i="4"/>
  <c r="M41" i="4"/>
  <c r="M29" i="4"/>
  <c r="M17" i="4"/>
  <c r="M35" i="4"/>
  <c r="M23" i="4"/>
  <c r="M12" i="4"/>
  <c r="M27" i="4"/>
  <c r="S15" i="4"/>
  <c r="S30" i="4"/>
  <c r="U12" i="4" s="1" a="1"/>
  <c r="M17" i="5"/>
  <c r="M41" i="5"/>
  <c r="M14" i="4"/>
  <c r="M31" i="4"/>
  <c r="M21" i="5"/>
  <c r="M43" i="5"/>
  <c r="S41" i="6"/>
  <c r="S29" i="6"/>
  <c r="S17" i="6"/>
  <c r="S37" i="6"/>
  <c r="S25" i="6"/>
  <c r="S36" i="6"/>
  <c r="S24" i="6"/>
  <c r="S34" i="6"/>
  <c r="S19" i="6"/>
  <c r="S33" i="6"/>
  <c r="S18" i="6"/>
  <c r="S31" i="6"/>
  <c r="S16" i="6"/>
  <c r="S45" i="6"/>
  <c r="S30" i="6"/>
  <c r="S43" i="6"/>
  <c r="S27" i="6"/>
  <c r="S21" i="6"/>
  <c r="S44" i="6"/>
  <c r="S20" i="6"/>
  <c r="S40" i="6"/>
  <c r="S39" i="6"/>
  <c r="S28" i="6"/>
  <c r="S23" i="6"/>
  <c r="M24" i="5"/>
  <c r="M16" i="4"/>
  <c r="M33" i="4"/>
  <c r="S19" i="4"/>
  <c r="S36" i="4"/>
  <c r="M26" i="5"/>
  <c r="S26" i="6"/>
  <c r="M19" i="4"/>
  <c r="M34" i="4"/>
  <c r="M27" i="5"/>
  <c r="S32" i="6"/>
  <c r="M30" i="5"/>
  <c r="M21" i="4"/>
  <c r="M37" i="4"/>
  <c r="S24" i="4"/>
  <c r="S40" i="4"/>
  <c r="Z16" i="5" a="1"/>
  <c r="M31" i="5"/>
  <c r="S38" i="6"/>
  <c r="M37" i="7"/>
  <c r="M25" i="7"/>
  <c r="M35" i="7"/>
  <c r="M23" i="7"/>
  <c r="M45" i="7"/>
  <c r="M33" i="7"/>
  <c r="M21" i="7"/>
  <c r="M43" i="7"/>
  <c r="M31" i="7"/>
  <c r="M19" i="7"/>
  <c r="M42" i="7"/>
  <c r="M30" i="7"/>
  <c r="M18" i="7"/>
  <c r="M27" i="7"/>
  <c r="M26" i="7"/>
  <c r="M44" i="7"/>
  <c r="M24" i="7"/>
  <c r="M40" i="7"/>
  <c r="M20" i="7"/>
  <c r="M39" i="7"/>
  <c r="M17" i="7"/>
  <c r="M36" i="7"/>
  <c r="M16" i="7"/>
  <c r="P16" i="7" s="1" a="1"/>
  <c r="M34" i="7"/>
  <c r="M32" i="7"/>
  <c r="M28" i="7"/>
  <c r="M22" i="7"/>
  <c r="M41" i="7"/>
  <c r="Z16" i="6" a="1"/>
  <c r="M39" i="8"/>
  <c r="M27" i="8"/>
  <c r="M16" i="8"/>
  <c r="M37" i="8"/>
  <c r="M25" i="8"/>
  <c r="M35" i="8"/>
  <c r="M23" i="8"/>
  <c r="M34" i="8"/>
  <c r="M22" i="8"/>
  <c r="M45" i="8"/>
  <c r="M33" i="8"/>
  <c r="M21" i="8"/>
  <c r="M44" i="8"/>
  <c r="M32" i="8"/>
  <c r="M20" i="8"/>
  <c r="M38" i="8"/>
  <c r="M36" i="8"/>
  <c r="M31" i="8"/>
  <c r="M30" i="8"/>
  <c r="M29" i="8"/>
  <c r="M26" i="8"/>
  <c r="M24" i="8"/>
  <c r="M43" i="8"/>
  <c r="M19" i="8"/>
  <c r="M42" i="8"/>
  <c r="M18" i="8"/>
  <c r="M28" i="8"/>
  <c r="S23" i="5"/>
  <c r="S35" i="5"/>
  <c r="M24" i="6"/>
  <c r="M40" i="6"/>
  <c r="M40" i="8"/>
  <c r="M41" i="8"/>
  <c r="M27" i="6"/>
  <c r="M42" i="6"/>
  <c r="S26" i="5"/>
  <c r="S38" i="5"/>
  <c r="M28" i="6"/>
  <c r="M43" i="6"/>
  <c r="S28" i="5"/>
  <c r="M16" i="6"/>
  <c r="M38" i="6"/>
  <c r="M26" i="6"/>
  <c r="M34" i="6"/>
  <c r="M22" i="6"/>
  <c r="M45" i="6"/>
  <c r="M33" i="6"/>
  <c r="M21" i="6"/>
  <c r="M31" i="6"/>
  <c r="U16" i="7" a="1"/>
  <c r="S21" i="7"/>
  <c r="S33" i="7"/>
  <c r="S45" i="7"/>
  <c r="S24" i="7"/>
  <c r="S36" i="7"/>
  <c r="S26" i="7"/>
  <c r="S38" i="7"/>
  <c r="U16" i="8" a="1"/>
  <c r="Z16" i="8" a="1"/>
  <c r="S28" i="7"/>
  <c r="S23" i="8"/>
  <c r="S35" i="8"/>
  <c r="M22" i="9"/>
  <c r="M34" i="9"/>
  <c r="S25" i="9"/>
  <c r="S37" i="9"/>
  <c r="S24" i="8"/>
  <c r="S36" i="8"/>
  <c r="M23" i="9"/>
  <c r="M35" i="9"/>
  <c r="S26" i="9"/>
  <c r="S38" i="9"/>
  <c r="S25" i="8"/>
  <c r="S37" i="8"/>
  <c r="M24" i="9"/>
  <c r="M36" i="9"/>
  <c r="S16" i="9"/>
  <c r="S27" i="9"/>
  <c r="S39" i="9"/>
  <c r="M25" i="9"/>
  <c r="M37" i="9"/>
  <c r="S28" i="9"/>
  <c r="S40" i="9"/>
  <c r="M26" i="9"/>
  <c r="M38" i="9"/>
  <c r="S17" i="9"/>
  <c r="S29" i="9"/>
  <c r="S41" i="9"/>
  <c r="S28" i="8"/>
  <c r="M16" i="9"/>
  <c r="M27" i="9"/>
  <c r="M39" i="9"/>
  <c r="S18" i="9"/>
  <c r="S30" i="9"/>
  <c r="S42" i="9"/>
  <c r="M28" i="9"/>
  <c r="M40" i="9"/>
  <c r="S19" i="9"/>
  <c r="S31" i="9"/>
  <c r="S43" i="9"/>
  <c r="M17" i="9"/>
  <c r="M29" i="9"/>
  <c r="M41" i="9"/>
  <c r="S20" i="9"/>
  <c r="S32" i="9"/>
  <c r="S44" i="9"/>
  <c r="M18" i="9"/>
  <c r="M30" i="9"/>
  <c r="M42" i="9"/>
  <c r="S21" i="9"/>
  <c r="S33" i="9"/>
  <c r="M19" i="9"/>
  <c r="M31" i="9"/>
  <c r="M43" i="9"/>
  <c r="M20" i="9"/>
  <c r="M32" i="9"/>
  <c r="U36" i="4" l="1"/>
  <c r="U39" i="4"/>
  <c r="U26" i="4"/>
  <c r="U14" i="4"/>
  <c r="U38" i="4"/>
  <c r="U25" i="4"/>
  <c r="U13" i="4"/>
  <c r="U31" i="4"/>
  <c r="U19" i="4"/>
  <c r="U24" i="4"/>
  <c r="U41" i="4"/>
  <c r="U23" i="4"/>
  <c r="U40" i="4"/>
  <c r="U22" i="4"/>
  <c r="U20" i="4"/>
  <c r="U37" i="4"/>
  <c r="U21" i="4"/>
  <c r="U35" i="4"/>
  <c r="U34" i="4"/>
  <c r="U18" i="4"/>
  <c r="U32" i="4"/>
  <c r="U16" i="4"/>
  <c r="U29" i="4"/>
  <c r="U30" i="4"/>
  <c r="U28" i="4"/>
  <c r="U27" i="4"/>
  <c r="U17" i="4"/>
  <c r="U12" i="4"/>
  <c r="U15" i="4"/>
  <c r="U33" i="4"/>
  <c r="Z36" i="5"/>
  <c r="Z24" i="5"/>
  <c r="Z34" i="5"/>
  <c r="Z22" i="5"/>
  <c r="Z45" i="5"/>
  <c r="Z33" i="5"/>
  <c r="Z21" i="5"/>
  <c r="Z43" i="5"/>
  <c r="Z31" i="5"/>
  <c r="Z19" i="5"/>
  <c r="Z41" i="5"/>
  <c r="Z25" i="5"/>
  <c r="Z40" i="5"/>
  <c r="Z23" i="5"/>
  <c r="Z35" i="5"/>
  <c r="Z30" i="5"/>
  <c r="Z42" i="5"/>
  <c r="Z16" i="5"/>
  <c r="Z39" i="5"/>
  <c r="Z38" i="5"/>
  <c r="Z37" i="5"/>
  <c r="Z32" i="5"/>
  <c r="Z29" i="5"/>
  <c r="Z27" i="5"/>
  <c r="Z26" i="5"/>
  <c r="Z20" i="5"/>
  <c r="Z44" i="5"/>
  <c r="Z28" i="5"/>
  <c r="Z18" i="5"/>
  <c r="Z17" i="5"/>
  <c r="Z37" i="6"/>
  <c r="Z25" i="6"/>
  <c r="P9" i="6" s="1" a="1"/>
  <c r="P9" i="6" s="1"/>
  <c r="P10" i="6" s="1"/>
  <c r="Z45" i="6"/>
  <c r="Z33" i="6"/>
  <c r="Z21" i="6"/>
  <c r="Z44" i="6"/>
  <c r="Z32" i="6"/>
  <c r="Z20" i="6"/>
  <c r="Z39" i="6"/>
  <c r="Z23" i="6"/>
  <c r="Z38" i="6"/>
  <c r="Z22" i="6"/>
  <c r="Z35" i="6"/>
  <c r="Z18" i="6"/>
  <c r="Z34" i="6"/>
  <c r="Z17" i="6"/>
  <c r="Z30" i="6"/>
  <c r="Z16" i="6"/>
  <c r="Z31" i="6"/>
  <c r="Z29" i="6"/>
  <c r="Z27" i="6"/>
  <c r="Z26" i="6"/>
  <c r="Z43" i="6"/>
  <c r="Z42" i="6"/>
  <c r="Z40" i="6"/>
  <c r="Z28" i="6"/>
  <c r="Z24" i="6"/>
  <c r="Z19" i="6"/>
  <c r="Z41" i="6"/>
  <c r="Z36" i="6"/>
  <c r="Z40" i="8"/>
  <c r="Z28" i="8"/>
  <c r="Z38" i="8"/>
  <c r="Z26" i="8"/>
  <c r="Z36" i="8"/>
  <c r="Z24" i="8"/>
  <c r="Z34" i="8"/>
  <c r="Z22" i="8"/>
  <c r="Z45" i="8"/>
  <c r="Z33" i="8"/>
  <c r="Z21" i="8"/>
  <c r="Z44" i="8"/>
  <c r="Z32" i="8"/>
  <c r="Z20" i="8"/>
  <c r="Z43" i="8"/>
  <c r="Z31" i="8"/>
  <c r="Z19" i="8"/>
  <c r="Z27" i="8"/>
  <c r="Z25" i="8"/>
  <c r="P9" i="8" s="1" a="1"/>
  <c r="P9" i="8" s="1"/>
  <c r="P10" i="8" s="1"/>
  <c r="Z23" i="8"/>
  <c r="Z18" i="8"/>
  <c r="Z17" i="8"/>
  <c r="Z41" i="8"/>
  <c r="Z39" i="8"/>
  <c r="Z37" i="8"/>
  <c r="Z35" i="8"/>
  <c r="Z16" i="8"/>
  <c r="Z30" i="8"/>
  <c r="Z42" i="8"/>
  <c r="Z29" i="8"/>
  <c r="U35" i="8"/>
  <c r="U23" i="8"/>
  <c r="U45" i="8"/>
  <c r="U33" i="8"/>
  <c r="U21" i="8"/>
  <c r="U43" i="8"/>
  <c r="U31" i="8"/>
  <c r="U19" i="8"/>
  <c r="U42" i="8"/>
  <c r="U30" i="8"/>
  <c r="U18" i="8"/>
  <c r="U41" i="8"/>
  <c r="U29" i="8"/>
  <c r="U17" i="8"/>
  <c r="U40" i="8"/>
  <c r="U28" i="8"/>
  <c r="U22" i="8"/>
  <c r="U44" i="8"/>
  <c r="U20" i="8"/>
  <c r="U39" i="8"/>
  <c r="U16" i="8"/>
  <c r="U38" i="8"/>
  <c r="U37" i="8"/>
  <c r="U34" i="8"/>
  <c r="U32" i="8"/>
  <c r="U27" i="8"/>
  <c r="U26" i="8"/>
  <c r="U25" i="8"/>
  <c r="U36" i="8"/>
  <c r="U24" i="8"/>
  <c r="P16" i="8" a="1"/>
  <c r="U16" i="6" a="1"/>
  <c r="U16" i="9" a="1"/>
  <c r="Z16" i="9" a="1"/>
  <c r="Z16" i="7" a="1"/>
  <c r="P16" i="9" a="1"/>
  <c r="U45" i="7"/>
  <c r="U33" i="7"/>
  <c r="U21" i="7"/>
  <c r="U43" i="7"/>
  <c r="U31" i="7"/>
  <c r="U19" i="7"/>
  <c r="U41" i="7"/>
  <c r="U29" i="7"/>
  <c r="U17" i="7"/>
  <c r="U39" i="7"/>
  <c r="U27" i="7"/>
  <c r="U16" i="7"/>
  <c r="U38" i="7"/>
  <c r="U26" i="7"/>
  <c r="U42" i="7"/>
  <c r="U22" i="7"/>
  <c r="U40" i="7"/>
  <c r="U20" i="7"/>
  <c r="U37" i="7"/>
  <c r="U18" i="7"/>
  <c r="U35" i="7"/>
  <c r="U34" i="7"/>
  <c r="U30" i="7"/>
  <c r="U32" i="7"/>
  <c r="U28" i="7"/>
  <c r="U24" i="7"/>
  <c r="U23" i="7"/>
  <c r="U44" i="7"/>
  <c r="U36" i="7"/>
  <c r="U25" i="7"/>
  <c r="U16" i="5" a="1"/>
  <c r="P42" i="7"/>
  <c r="P30" i="7"/>
  <c r="P18" i="7"/>
  <c r="P40" i="7"/>
  <c r="P28" i="7"/>
  <c r="P38" i="7"/>
  <c r="P26" i="7"/>
  <c r="P36" i="7"/>
  <c r="P24" i="7"/>
  <c r="P35" i="7"/>
  <c r="P23" i="7"/>
  <c r="P37" i="7"/>
  <c r="P17" i="7"/>
  <c r="P34" i="7"/>
  <c r="P16" i="7"/>
  <c r="P33" i="7"/>
  <c r="P31" i="7"/>
  <c r="P29" i="7"/>
  <c r="P45" i="7"/>
  <c r="P25" i="7"/>
  <c r="P44" i="7"/>
  <c r="P43" i="7"/>
  <c r="P39" i="7"/>
  <c r="P32" i="7"/>
  <c r="P22" i="7"/>
  <c r="P21" i="7"/>
  <c r="P20" i="7"/>
  <c r="P19" i="7"/>
  <c r="P41" i="7"/>
  <c r="P27" i="7"/>
  <c r="P16" i="5" a="1"/>
  <c r="P16" i="6" a="1"/>
  <c r="P12" i="4" a="1"/>
  <c r="P9" i="5" a="1"/>
  <c r="P9" i="5" s="1"/>
  <c r="P10" i="5" s="1"/>
  <c r="U40" i="9" l="1"/>
  <c r="U28" i="9"/>
  <c r="U39" i="9"/>
  <c r="U27" i="9"/>
  <c r="U16" i="9"/>
  <c r="U38" i="9"/>
  <c r="U26" i="9"/>
  <c r="U37" i="9"/>
  <c r="U25" i="9"/>
  <c r="U36" i="9"/>
  <c r="U24" i="9"/>
  <c r="U35" i="9"/>
  <c r="U23" i="9"/>
  <c r="U34" i="9"/>
  <c r="U22" i="9"/>
  <c r="U45" i="9"/>
  <c r="U33" i="9"/>
  <c r="U21" i="9"/>
  <c r="U44" i="9"/>
  <c r="U32" i="9"/>
  <c r="U20" i="9"/>
  <c r="U43" i="9"/>
  <c r="U31" i="9"/>
  <c r="U19" i="9"/>
  <c r="U42" i="9"/>
  <c r="U30" i="9"/>
  <c r="U18" i="9"/>
  <c r="U41" i="9"/>
  <c r="U29" i="9"/>
  <c r="U17" i="9"/>
  <c r="P42" i="5"/>
  <c r="P30" i="5"/>
  <c r="P18" i="5"/>
  <c r="P40" i="5"/>
  <c r="P28" i="5"/>
  <c r="P39" i="5"/>
  <c r="P27" i="5"/>
  <c r="P16" i="5"/>
  <c r="P37" i="5"/>
  <c r="P25" i="5"/>
  <c r="P34" i="5"/>
  <c r="P17" i="5"/>
  <c r="P33" i="5"/>
  <c r="P43" i="5"/>
  <c r="P23" i="5"/>
  <c r="P24" i="5"/>
  <c r="P22" i="5"/>
  <c r="P45" i="5"/>
  <c r="P21" i="5"/>
  <c r="P19" i="5"/>
  <c r="P44" i="5"/>
  <c r="P20" i="5"/>
  <c r="P41" i="5"/>
  <c r="P38" i="5"/>
  <c r="P35" i="5"/>
  <c r="P32" i="5"/>
  <c r="P31" i="5"/>
  <c r="P26" i="5"/>
  <c r="P29" i="5"/>
  <c r="P36" i="5"/>
  <c r="P37" i="9"/>
  <c r="P25" i="9"/>
  <c r="P36" i="9"/>
  <c r="P24" i="9"/>
  <c r="P35" i="9"/>
  <c r="P23" i="9"/>
  <c r="P34" i="9"/>
  <c r="P22" i="9"/>
  <c r="P45" i="9"/>
  <c r="P33" i="9"/>
  <c r="P21" i="9"/>
  <c r="P44" i="9"/>
  <c r="P32" i="9"/>
  <c r="P20" i="9"/>
  <c r="P43" i="9"/>
  <c r="P31" i="9"/>
  <c r="P19" i="9"/>
  <c r="P42" i="9"/>
  <c r="P30" i="9"/>
  <c r="P18" i="9"/>
  <c r="P41" i="9"/>
  <c r="P29" i="9"/>
  <c r="P17" i="9"/>
  <c r="P40" i="9"/>
  <c r="P28" i="9"/>
  <c r="P39" i="9"/>
  <c r="P27" i="9"/>
  <c r="P16" i="9"/>
  <c r="P26" i="9"/>
  <c r="P38" i="9"/>
  <c r="U34" i="6"/>
  <c r="U22" i="6"/>
  <c r="U42" i="6"/>
  <c r="U30" i="6"/>
  <c r="U18" i="6"/>
  <c r="U41" i="6"/>
  <c r="U29" i="6"/>
  <c r="U17" i="6"/>
  <c r="U36" i="6"/>
  <c r="U20" i="6"/>
  <c r="U35" i="6"/>
  <c r="U19" i="6"/>
  <c r="U32" i="6"/>
  <c r="U16" i="6"/>
  <c r="U31" i="6"/>
  <c r="U44" i="6"/>
  <c r="U27" i="6"/>
  <c r="U43" i="6"/>
  <c r="U40" i="6"/>
  <c r="U38" i="6"/>
  <c r="U37" i="6"/>
  <c r="U25" i="6"/>
  <c r="U23" i="6"/>
  <c r="U45" i="6"/>
  <c r="U39" i="6"/>
  <c r="U28" i="6"/>
  <c r="U26" i="6"/>
  <c r="U24" i="6"/>
  <c r="U33" i="6"/>
  <c r="U21" i="6"/>
  <c r="AA16" i="7" a="1"/>
  <c r="I7" i="7" a="1"/>
  <c r="I7" i="7" s="1"/>
  <c r="P44" i="8"/>
  <c r="P32" i="8"/>
  <c r="P20" i="8"/>
  <c r="P42" i="8"/>
  <c r="P30" i="8"/>
  <c r="P18" i="8"/>
  <c r="P40" i="8"/>
  <c r="P28" i="8"/>
  <c r="P39" i="8"/>
  <c r="P27" i="8"/>
  <c r="P16" i="8"/>
  <c r="Q16" i="8" s="1" a="1"/>
  <c r="P38" i="8"/>
  <c r="P26" i="8"/>
  <c r="P37" i="8"/>
  <c r="P25" i="8"/>
  <c r="P31" i="8"/>
  <c r="P29" i="8"/>
  <c r="P24" i="8"/>
  <c r="P23" i="8"/>
  <c r="P22" i="8"/>
  <c r="P43" i="8"/>
  <c r="P19" i="8"/>
  <c r="P41" i="8"/>
  <c r="P17" i="8"/>
  <c r="P36" i="8"/>
  <c r="P35" i="8"/>
  <c r="P45" i="8"/>
  <c r="P33" i="8"/>
  <c r="P21" i="8"/>
  <c r="P34" i="8"/>
  <c r="AA16" i="8" a="1"/>
  <c r="I7" i="8" a="1"/>
  <c r="I7" i="8" s="1"/>
  <c r="U45" i="5"/>
  <c r="U33" i="5"/>
  <c r="U21" i="5"/>
  <c r="U43" i="5"/>
  <c r="U31" i="5"/>
  <c r="U19" i="5"/>
  <c r="U42" i="5"/>
  <c r="U30" i="5"/>
  <c r="U18" i="5"/>
  <c r="U40" i="5"/>
  <c r="U28" i="5"/>
  <c r="U26" i="5"/>
  <c r="U44" i="5"/>
  <c r="U25" i="5"/>
  <c r="U35" i="5"/>
  <c r="U16" i="5"/>
  <c r="U36" i="5"/>
  <c r="U34" i="5"/>
  <c r="U32" i="5"/>
  <c r="U29" i="5"/>
  <c r="U27" i="5"/>
  <c r="U24" i="5"/>
  <c r="U22" i="5"/>
  <c r="U41" i="5"/>
  <c r="U20" i="5"/>
  <c r="U39" i="5"/>
  <c r="U17" i="5"/>
  <c r="U38" i="5"/>
  <c r="U37" i="5"/>
  <c r="U23" i="5"/>
  <c r="P43" i="6"/>
  <c r="P31" i="6"/>
  <c r="P19" i="6"/>
  <c r="P39" i="6"/>
  <c r="P27" i="6"/>
  <c r="P16" i="6"/>
  <c r="P38" i="6"/>
  <c r="P26" i="6"/>
  <c r="P33" i="6"/>
  <c r="P17" i="6"/>
  <c r="P32" i="6"/>
  <c r="P45" i="6"/>
  <c r="P29" i="6"/>
  <c r="P44" i="6"/>
  <c r="P28" i="6"/>
  <c r="P41" i="6"/>
  <c r="P24" i="6"/>
  <c r="P25" i="6"/>
  <c r="P23" i="6"/>
  <c r="P21" i="6"/>
  <c r="P20" i="6"/>
  <c r="P36" i="6"/>
  <c r="P34" i="6"/>
  <c r="P42" i="6"/>
  <c r="P40" i="6"/>
  <c r="P37" i="6"/>
  <c r="P35" i="6"/>
  <c r="P30" i="6"/>
  <c r="P22" i="6"/>
  <c r="P18" i="6"/>
  <c r="Q16" i="7" a="1"/>
  <c r="Z36" i="7"/>
  <c r="Z24" i="7"/>
  <c r="Z34" i="7"/>
  <c r="Z22" i="7"/>
  <c r="Z44" i="7"/>
  <c r="Z32" i="7"/>
  <c r="Z20" i="7"/>
  <c r="Z42" i="7"/>
  <c r="Z30" i="7"/>
  <c r="Z18" i="7"/>
  <c r="Z41" i="7"/>
  <c r="Z29" i="7"/>
  <c r="Z17" i="7"/>
  <c r="Z31" i="7"/>
  <c r="Z28" i="7"/>
  <c r="Z27" i="7"/>
  <c r="Z45" i="7"/>
  <c r="Z25" i="7"/>
  <c r="Z43" i="7"/>
  <c r="Z23" i="7"/>
  <c r="Z39" i="7"/>
  <c r="Z19" i="7"/>
  <c r="Z38" i="7"/>
  <c r="Z26" i="7"/>
  <c r="Z21" i="7"/>
  <c r="Z40" i="7"/>
  <c r="Z37" i="7"/>
  <c r="Z35" i="7"/>
  <c r="Z16" i="7"/>
  <c r="Z33" i="7"/>
  <c r="P35" i="4"/>
  <c r="P23" i="4"/>
  <c r="P12" i="4"/>
  <c r="P34" i="4"/>
  <c r="P22" i="4"/>
  <c r="P40" i="4"/>
  <c r="P28" i="4"/>
  <c r="P16" i="4"/>
  <c r="P38" i="4"/>
  <c r="P21" i="4"/>
  <c r="P37" i="4"/>
  <c r="P20" i="4"/>
  <c r="P36" i="4"/>
  <c r="P19" i="4"/>
  <c r="P33" i="4"/>
  <c r="P18" i="4"/>
  <c r="P32" i="4"/>
  <c r="P31" i="4"/>
  <c r="P15" i="4"/>
  <c r="P29" i="4"/>
  <c r="P13" i="4"/>
  <c r="P26" i="4"/>
  <c r="P17" i="4"/>
  <c r="P14" i="4"/>
  <c r="P24" i="4"/>
  <c r="P41" i="4"/>
  <c r="P39" i="4"/>
  <c r="P30" i="4"/>
  <c r="P27" i="4"/>
  <c r="P25" i="4"/>
  <c r="Z43" i="9"/>
  <c r="Z31" i="9"/>
  <c r="Z19" i="9"/>
  <c r="Z42" i="9"/>
  <c r="Z30" i="9"/>
  <c r="Z18" i="9"/>
  <c r="Z41" i="9"/>
  <c r="Z29" i="9"/>
  <c r="Z17" i="9"/>
  <c r="Z40" i="9"/>
  <c r="Z28" i="9"/>
  <c r="Z39" i="9"/>
  <c r="Z27" i="9"/>
  <c r="Z16" i="9"/>
  <c r="Z38" i="9"/>
  <c r="Z26" i="9"/>
  <c r="Z37" i="9"/>
  <c r="Z25" i="9"/>
  <c r="P9" i="9" s="1" a="1"/>
  <c r="P9" i="9" s="1"/>
  <c r="P10" i="9" s="1"/>
  <c r="Z36" i="9"/>
  <c r="Z24" i="9"/>
  <c r="Z35" i="9"/>
  <c r="Z23" i="9"/>
  <c r="Z34" i="9"/>
  <c r="Z22" i="9"/>
  <c r="Z45" i="9"/>
  <c r="Z33" i="9"/>
  <c r="Z21" i="9"/>
  <c r="Z44" i="9"/>
  <c r="Z32" i="9"/>
  <c r="Z20" i="9"/>
  <c r="P9" i="7" l="1" a="1"/>
  <c r="P9" i="7" s="1"/>
  <c r="P10" i="7" s="1"/>
  <c r="AA45" i="8"/>
  <c r="AA33" i="8"/>
  <c r="AA21" i="8"/>
  <c r="AA43" i="8"/>
  <c r="AA31" i="8"/>
  <c r="AA19" i="8"/>
  <c r="AA41" i="8"/>
  <c r="AA29" i="8"/>
  <c r="AA17" i="8"/>
  <c r="AA40" i="8"/>
  <c r="AA28" i="8"/>
  <c r="AA39" i="8"/>
  <c r="AA27" i="8"/>
  <c r="AA16" i="8"/>
  <c r="AA38" i="8"/>
  <c r="AA26" i="8"/>
  <c r="AA37" i="8"/>
  <c r="AA25" i="8"/>
  <c r="AA36" i="8"/>
  <c r="AA24" i="8"/>
  <c r="AA30" i="8"/>
  <c r="AA23" i="8"/>
  <c r="AA22" i="8"/>
  <c r="AA20" i="8"/>
  <c r="AA18" i="8"/>
  <c r="AA44" i="8"/>
  <c r="AA42" i="8"/>
  <c r="AA35" i="8"/>
  <c r="AA34" i="8"/>
  <c r="AA32" i="8"/>
  <c r="AA16" i="6" a="1"/>
  <c r="I7" i="6" a="1"/>
  <c r="I7" i="6" s="1"/>
  <c r="Q12" i="4" a="1"/>
  <c r="I7" i="5" a="1"/>
  <c r="I7" i="5" s="1"/>
  <c r="AA16" i="5" a="1"/>
  <c r="I7" i="9" a="1"/>
  <c r="I7" i="9" s="1"/>
  <c r="AA16" i="9" a="1"/>
  <c r="AA34" i="7"/>
  <c r="AA41" i="7"/>
  <c r="AA40" i="7"/>
  <c r="AA39" i="7"/>
  <c r="AA45" i="7"/>
  <c r="AA29" i="7"/>
  <c r="AA17" i="7"/>
  <c r="AA44" i="7"/>
  <c r="AA28" i="7"/>
  <c r="AA43" i="7"/>
  <c r="AA27" i="7"/>
  <c r="AA16" i="7"/>
  <c r="AA38" i="7"/>
  <c r="AA25" i="7"/>
  <c r="AA36" i="7"/>
  <c r="AA23" i="7"/>
  <c r="AA35" i="7"/>
  <c r="AA22" i="7"/>
  <c r="AA21" i="7"/>
  <c r="AA20" i="7"/>
  <c r="AA19" i="7"/>
  <c r="AA42" i="7"/>
  <c r="AA37" i="7"/>
  <c r="AA32" i="7"/>
  <c r="AA31" i="7"/>
  <c r="AA33" i="7"/>
  <c r="AA30" i="7"/>
  <c r="AA24" i="7"/>
  <c r="AA18" i="7"/>
  <c r="AA26" i="7"/>
  <c r="Q16" i="9" a="1"/>
  <c r="Q37" i="8"/>
  <c r="Q25" i="8"/>
  <c r="Q35" i="8"/>
  <c r="Q23" i="8"/>
  <c r="Q45" i="8"/>
  <c r="Q33" i="8"/>
  <c r="Q21" i="8"/>
  <c r="Q44" i="8"/>
  <c r="Q32" i="8"/>
  <c r="Q20" i="8"/>
  <c r="Q43" i="8"/>
  <c r="Q31" i="8"/>
  <c r="Q19" i="8"/>
  <c r="Q42" i="8"/>
  <c r="Q30" i="8"/>
  <c r="Q18" i="8"/>
  <c r="Q24" i="8"/>
  <c r="Q22" i="8"/>
  <c r="Q41" i="8"/>
  <c r="Q17" i="8"/>
  <c r="Q40" i="8"/>
  <c r="Q39" i="8"/>
  <c r="Q16" i="8"/>
  <c r="Q36" i="8"/>
  <c r="Q34" i="8"/>
  <c r="Q29" i="8"/>
  <c r="Q28" i="8"/>
  <c r="Q27" i="8"/>
  <c r="Q26" i="8"/>
  <c r="Q38" i="8"/>
  <c r="Q35" i="7"/>
  <c r="Q23" i="7"/>
  <c r="Q45" i="7"/>
  <c r="Q33" i="7"/>
  <c r="Q21" i="7"/>
  <c r="Q43" i="7"/>
  <c r="Q31" i="7"/>
  <c r="Q19" i="7"/>
  <c r="Q41" i="7"/>
  <c r="Q29" i="7"/>
  <c r="Q17" i="7"/>
  <c r="Q40" i="7"/>
  <c r="Q28" i="7"/>
  <c r="Q26" i="7"/>
  <c r="Q25" i="7"/>
  <c r="Q44" i="7"/>
  <c r="Q24" i="7"/>
  <c r="Q39" i="7"/>
  <c r="Q20" i="7"/>
  <c r="Q38" i="7"/>
  <c r="Q18" i="7"/>
  <c r="Q36" i="7"/>
  <c r="Q42" i="7"/>
  <c r="Q34" i="7"/>
  <c r="Q32" i="7"/>
  <c r="Q30" i="7"/>
  <c r="Q27" i="7"/>
  <c r="Q22" i="7"/>
  <c r="Q37" i="7"/>
  <c r="Q16" i="7"/>
  <c r="Q16" i="5" a="1"/>
  <c r="Q16" i="6" a="1"/>
  <c r="AA42" i="6" l="1"/>
  <c r="AA30" i="6"/>
  <c r="AA18" i="6"/>
  <c r="AA40" i="6"/>
  <c r="AA28" i="6"/>
  <c r="AA38" i="6"/>
  <c r="AA26" i="6"/>
  <c r="AA37" i="6"/>
  <c r="AA25" i="6"/>
  <c r="AA44" i="6"/>
  <c r="AA24" i="6"/>
  <c r="AA43" i="6"/>
  <c r="AA23" i="6"/>
  <c r="AA39" i="6"/>
  <c r="AA21" i="6"/>
  <c r="AA36" i="6"/>
  <c r="AA20" i="6"/>
  <c r="AA34" i="6"/>
  <c r="AA17" i="6"/>
  <c r="AA32" i="6"/>
  <c r="AA31" i="6"/>
  <c r="AA27" i="6"/>
  <c r="AA22" i="6"/>
  <c r="AA45" i="6"/>
  <c r="AA35" i="6"/>
  <c r="AA41" i="6"/>
  <c r="AA29" i="6"/>
  <c r="AA19" i="6"/>
  <c r="AA16" i="6"/>
  <c r="AA33" i="6"/>
  <c r="AA36" i="9"/>
  <c r="AA24" i="9"/>
  <c r="AA35" i="9"/>
  <c r="AA23" i="9"/>
  <c r="AA34" i="9"/>
  <c r="AA22" i="9"/>
  <c r="AA45" i="9"/>
  <c r="AA33" i="9"/>
  <c r="AA21" i="9"/>
  <c r="AA44" i="9"/>
  <c r="AA32" i="9"/>
  <c r="AA20" i="9"/>
  <c r="AA43" i="9"/>
  <c r="AA31" i="9"/>
  <c r="AA19" i="9"/>
  <c r="AA42" i="9"/>
  <c r="AA30" i="9"/>
  <c r="AA18" i="9"/>
  <c r="AA41" i="9"/>
  <c r="AA29" i="9"/>
  <c r="AA17" i="9"/>
  <c r="AA40" i="9"/>
  <c r="AA28" i="9"/>
  <c r="AA39" i="9"/>
  <c r="AA27" i="9"/>
  <c r="AA16" i="9"/>
  <c r="AA38" i="9"/>
  <c r="AA26" i="9"/>
  <c r="AA25" i="9"/>
  <c r="AA37" i="9"/>
  <c r="Q36" i="6"/>
  <c r="Q24" i="6"/>
  <c r="Q44" i="6"/>
  <c r="Q32" i="6"/>
  <c r="Q20" i="6"/>
  <c r="Q43" i="6"/>
  <c r="Q31" i="6"/>
  <c r="Q19" i="6"/>
  <c r="Q34" i="6"/>
  <c r="Q17" i="6"/>
  <c r="Q33" i="6"/>
  <c r="Q29" i="6"/>
  <c r="Q45" i="6"/>
  <c r="Q28" i="6"/>
  <c r="Q41" i="6"/>
  <c r="Q26" i="6"/>
  <c r="Q23" i="6"/>
  <c r="Q22" i="6"/>
  <c r="Q42" i="6"/>
  <c r="Q18" i="6"/>
  <c r="Q40" i="6"/>
  <c r="Q16" i="6"/>
  <c r="Q35" i="6"/>
  <c r="Q27" i="6"/>
  <c r="Q38" i="6"/>
  <c r="Q37" i="6"/>
  <c r="Q30" i="6"/>
  <c r="Q25" i="6"/>
  <c r="Q39" i="6"/>
  <c r="Q21" i="6"/>
  <c r="Q35" i="5"/>
  <c r="Q23" i="5"/>
  <c r="Q45" i="5"/>
  <c r="Q33" i="5"/>
  <c r="Q21" i="5"/>
  <c r="Q44" i="5"/>
  <c r="Q32" i="5"/>
  <c r="Q20" i="5"/>
  <c r="Q42" i="5"/>
  <c r="Q30" i="5"/>
  <c r="Q18" i="5"/>
  <c r="Q39" i="5"/>
  <c r="Q22" i="5"/>
  <c r="Q38" i="5"/>
  <c r="Q19" i="5"/>
  <c r="Q28" i="5"/>
  <c r="Q41" i="5"/>
  <c r="Q40" i="5"/>
  <c r="Q16" i="5"/>
  <c r="Q37" i="5"/>
  <c r="Q36" i="5"/>
  <c r="Q34" i="5"/>
  <c r="Q31" i="5"/>
  <c r="Q27" i="5"/>
  <c r="Q26" i="5"/>
  <c r="Q25" i="5"/>
  <c r="Q43" i="5"/>
  <c r="Q29" i="5"/>
  <c r="Q17" i="5"/>
  <c r="Q24" i="5"/>
  <c r="AA41" i="5"/>
  <c r="AA29" i="5"/>
  <c r="AA17" i="5"/>
  <c r="AA39" i="5"/>
  <c r="AA27" i="5"/>
  <c r="AA16" i="5"/>
  <c r="AA38" i="5"/>
  <c r="AA26" i="5"/>
  <c r="AA36" i="5"/>
  <c r="AA24" i="5"/>
  <c r="AA33" i="5"/>
  <c r="AA30" i="5"/>
  <c r="AA45" i="5"/>
  <c r="AA28" i="5"/>
  <c r="AA40" i="5"/>
  <c r="AA21" i="5"/>
  <c r="AA35" i="5"/>
  <c r="AA19" i="5"/>
  <c r="AA43" i="5"/>
  <c r="AA42" i="5"/>
  <c r="AA37" i="5"/>
  <c r="AA32" i="5"/>
  <c r="AA34" i="5"/>
  <c r="AA31" i="5"/>
  <c r="AA23" i="5"/>
  <c r="AA22" i="5"/>
  <c r="AA20" i="5"/>
  <c r="AA44" i="5"/>
  <c r="AA25" i="5"/>
  <c r="AA18" i="5"/>
  <c r="Q40" i="4"/>
  <c r="Q28" i="4"/>
  <c r="Q16" i="4"/>
  <c r="Q39" i="4"/>
  <c r="Q27" i="4"/>
  <c r="Q15" i="4"/>
  <c r="Q33" i="4"/>
  <c r="Q21" i="4"/>
  <c r="Q38" i="4"/>
  <c r="Q23" i="4"/>
  <c r="Q37" i="4"/>
  <c r="Q22" i="4"/>
  <c r="Q36" i="4"/>
  <c r="Q20" i="4"/>
  <c r="Q18" i="4"/>
  <c r="Q35" i="4"/>
  <c r="Q19" i="4"/>
  <c r="Q34" i="4"/>
  <c r="Q32" i="4"/>
  <c r="Q17" i="4"/>
  <c r="Q30" i="4"/>
  <c r="Q13" i="4"/>
  <c r="Q26" i="4"/>
  <c r="Q12" i="4"/>
  <c r="Q31" i="4"/>
  <c r="Q29" i="4"/>
  <c r="Q25" i="4"/>
  <c r="Q24" i="4"/>
  <c r="Q14" i="4"/>
  <c r="Q41" i="4"/>
  <c r="AB16" i="7" a="1"/>
  <c r="W16" i="7" a="1"/>
  <c r="Q42" i="9"/>
  <c r="Q30" i="9"/>
  <c r="Q18" i="9"/>
  <c r="Q41" i="9"/>
  <c r="Q29" i="9"/>
  <c r="Q17" i="9"/>
  <c r="Q40" i="9"/>
  <c r="Q28" i="9"/>
  <c r="Q39" i="9"/>
  <c r="Q27" i="9"/>
  <c r="Q16" i="9"/>
  <c r="Q38" i="9"/>
  <c r="Q26" i="9"/>
  <c r="Q37" i="9"/>
  <c r="Q25" i="9"/>
  <c r="Q36" i="9"/>
  <c r="Q24" i="9"/>
  <c r="Q35" i="9"/>
  <c r="Q23" i="9"/>
  <c r="Q34" i="9"/>
  <c r="Q22" i="9"/>
  <c r="Q45" i="9"/>
  <c r="Q33" i="9"/>
  <c r="Q21" i="9"/>
  <c r="Q44" i="9"/>
  <c r="Q32" i="9"/>
  <c r="Q20" i="9"/>
  <c r="Q43" i="9"/>
  <c r="Q31" i="9"/>
  <c r="Q19" i="9"/>
  <c r="W16" i="8" a="1"/>
  <c r="AB16" i="8" a="1"/>
  <c r="W12" i="4" l="1" a="1"/>
  <c r="W38" i="7"/>
  <c r="W26" i="7"/>
  <c r="W36" i="7"/>
  <c r="W24" i="7"/>
  <c r="W34" i="7"/>
  <c r="W22" i="7"/>
  <c r="W44" i="7"/>
  <c r="W32" i="7"/>
  <c r="W20" i="7"/>
  <c r="W43" i="7"/>
  <c r="W31" i="7"/>
  <c r="W19" i="7"/>
  <c r="W30" i="7"/>
  <c r="W29" i="7"/>
  <c r="W28" i="7"/>
  <c r="W45" i="7"/>
  <c r="W25" i="7"/>
  <c r="W42" i="7"/>
  <c r="W23" i="7"/>
  <c r="W40" i="7"/>
  <c r="W18" i="7"/>
  <c r="W41" i="7"/>
  <c r="W39" i="7"/>
  <c r="W35" i="7"/>
  <c r="W33" i="7"/>
  <c r="W21" i="7"/>
  <c r="W17" i="7"/>
  <c r="W16" i="7"/>
  <c r="W37" i="7"/>
  <c r="W27" i="7"/>
  <c r="AB39" i="7"/>
  <c r="AB27" i="7"/>
  <c r="AB16" i="7"/>
  <c r="AB34" i="7"/>
  <c r="AB22" i="7"/>
  <c r="AB45" i="7"/>
  <c r="AB33" i="7"/>
  <c r="AB21" i="7"/>
  <c r="AB44" i="7"/>
  <c r="AB32" i="7"/>
  <c r="AB20" i="7"/>
  <c r="AB35" i="7"/>
  <c r="AB31" i="7"/>
  <c r="AB30" i="7"/>
  <c r="AB29" i="7"/>
  <c r="AB43" i="7"/>
  <c r="AB26" i="7"/>
  <c r="AB41" i="7"/>
  <c r="AB24" i="7"/>
  <c r="AB40" i="7"/>
  <c r="AB23" i="7"/>
  <c r="AB25" i="7"/>
  <c r="AB19" i="7"/>
  <c r="AB18" i="7"/>
  <c r="AB42" i="7"/>
  <c r="AB38" i="7"/>
  <c r="AB36" i="7"/>
  <c r="AB28" i="7"/>
  <c r="AB37" i="7"/>
  <c r="AB17" i="7"/>
  <c r="W16" i="6" a="1"/>
  <c r="AB16" i="6" a="1"/>
  <c r="W16" i="9" a="1"/>
  <c r="AB16" i="9" a="1"/>
  <c r="W16" i="5" a="1"/>
  <c r="AB16" i="5" a="1"/>
  <c r="W40" i="8"/>
  <c r="W28" i="8"/>
  <c r="W38" i="8"/>
  <c r="W26" i="8"/>
  <c r="W36" i="8"/>
  <c r="W24" i="8"/>
  <c r="W35" i="8"/>
  <c r="W23" i="8"/>
  <c r="W34" i="8"/>
  <c r="W22" i="8"/>
  <c r="W45" i="8"/>
  <c r="W33" i="8"/>
  <c r="W21" i="8"/>
  <c r="W39" i="8"/>
  <c r="W16" i="8"/>
  <c r="W37" i="8"/>
  <c r="W32" i="8"/>
  <c r="W31" i="8"/>
  <c r="W30" i="8"/>
  <c r="W27" i="8"/>
  <c r="W25" i="8"/>
  <c r="W44" i="8"/>
  <c r="W20" i="8"/>
  <c r="W43" i="8"/>
  <c r="W19" i="8"/>
  <c r="W42" i="8"/>
  <c r="W41" i="8"/>
  <c r="W29" i="8"/>
  <c r="W18" i="8"/>
  <c r="W17" i="8"/>
  <c r="AB38" i="8"/>
  <c r="AB26" i="8"/>
  <c r="AB36" i="8"/>
  <c r="AB24" i="8"/>
  <c r="AB34" i="8"/>
  <c r="AB22" i="8"/>
  <c r="AB45" i="8"/>
  <c r="AB33" i="8"/>
  <c r="AB21" i="8"/>
  <c r="AB44" i="8"/>
  <c r="AB32" i="8"/>
  <c r="AB20" i="8"/>
  <c r="AB43" i="8"/>
  <c r="AB31" i="8"/>
  <c r="AB19" i="8"/>
  <c r="AB42" i="8"/>
  <c r="AB30" i="8"/>
  <c r="AB18" i="8"/>
  <c r="AB41" i="8"/>
  <c r="AB29" i="8"/>
  <c r="AB17" i="8"/>
  <c r="AB35" i="8"/>
  <c r="AB28" i="8"/>
  <c r="AB27" i="8"/>
  <c r="AB25" i="8"/>
  <c r="AB23" i="8"/>
  <c r="AB16" i="8"/>
  <c r="AB40" i="8"/>
  <c r="AB39" i="8"/>
  <c r="AB37" i="8"/>
  <c r="AC16" i="7" l="1" a="1"/>
  <c r="AC32" i="7" s="1"/>
  <c r="AC16" i="8" a="1"/>
  <c r="AC31" i="8" s="1"/>
  <c r="AB34" i="5"/>
  <c r="AB22" i="5"/>
  <c r="AB44" i="5"/>
  <c r="AB32" i="5"/>
  <c r="AB20" i="5"/>
  <c r="AB43" i="5"/>
  <c r="AB31" i="5"/>
  <c r="AB19" i="5"/>
  <c r="AB41" i="5"/>
  <c r="AB29" i="5"/>
  <c r="AB17" i="5"/>
  <c r="AB38" i="5"/>
  <c r="AB21" i="5"/>
  <c r="AB35" i="5"/>
  <c r="AB16" i="5"/>
  <c r="AB33" i="5"/>
  <c r="AB45" i="5"/>
  <c r="AB26" i="5"/>
  <c r="AB40" i="5"/>
  <c r="AB24" i="5"/>
  <c r="AB42" i="5"/>
  <c r="AB39" i="5"/>
  <c r="AB37" i="5"/>
  <c r="AB36" i="5"/>
  <c r="AB30" i="5"/>
  <c r="AB28" i="5"/>
  <c r="AB25" i="5"/>
  <c r="AB23" i="5"/>
  <c r="AB18" i="5"/>
  <c r="AB27" i="5"/>
  <c r="W38" i="5"/>
  <c r="W26" i="5"/>
  <c r="W36" i="5"/>
  <c r="W24" i="5"/>
  <c r="W35" i="5"/>
  <c r="W23" i="5"/>
  <c r="W45" i="5"/>
  <c r="W33" i="5"/>
  <c r="W21" i="5"/>
  <c r="W31" i="5"/>
  <c r="W16" i="5"/>
  <c r="W30" i="5"/>
  <c r="W40" i="5"/>
  <c r="W20" i="5"/>
  <c r="W28" i="5"/>
  <c r="W27" i="5"/>
  <c r="W25" i="5"/>
  <c r="W44" i="5"/>
  <c r="W22" i="5"/>
  <c r="W43" i="5"/>
  <c r="W19" i="5"/>
  <c r="W42" i="5"/>
  <c r="W18" i="5"/>
  <c r="W39" i="5"/>
  <c r="W37" i="5"/>
  <c r="W34" i="5"/>
  <c r="W29" i="5"/>
  <c r="W17" i="5"/>
  <c r="W32" i="5"/>
  <c r="W41" i="5"/>
  <c r="AB41" i="9"/>
  <c r="AB29" i="9"/>
  <c r="AB17" i="9"/>
  <c r="AB40" i="9"/>
  <c r="AB28" i="9"/>
  <c r="AB39" i="9"/>
  <c r="AB27" i="9"/>
  <c r="AB16" i="9"/>
  <c r="AB38" i="9"/>
  <c r="AB26" i="9"/>
  <c r="AB37" i="9"/>
  <c r="AB25" i="9"/>
  <c r="AB36" i="9"/>
  <c r="AB24" i="9"/>
  <c r="AB35" i="9"/>
  <c r="AB23" i="9"/>
  <c r="AB34" i="9"/>
  <c r="AB22" i="9"/>
  <c r="AB45" i="9"/>
  <c r="AB33" i="9"/>
  <c r="AB21" i="9"/>
  <c r="AB44" i="9"/>
  <c r="AB32" i="9"/>
  <c r="AB20" i="9"/>
  <c r="AB43" i="9"/>
  <c r="AB31" i="9"/>
  <c r="AB19" i="9"/>
  <c r="AB42" i="9"/>
  <c r="AB30" i="9"/>
  <c r="AB18" i="9"/>
  <c r="W45" i="9"/>
  <c r="W33" i="9"/>
  <c r="W21" i="9"/>
  <c r="W44" i="9"/>
  <c r="W32" i="9"/>
  <c r="W20" i="9"/>
  <c r="W43" i="9"/>
  <c r="W31" i="9"/>
  <c r="W19" i="9"/>
  <c r="W42" i="9"/>
  <c r="W30" i="9"/>
  <c r="W18" i="9"/>
  <c r="W41" i="9"/>
  <c r="W29" i="9"/>
  <c r="W17" i="9"/>
  <c r="W40" i="9"/>
  <c r="W28" i="9"/>
  <c r="W39" i="9"/>
  <c r="W27" i="9"/>
  <c r="W16" i="9"/>
  <c r="W38" i="9"/>
  <c r="W26" i="9"/>
  <c r="W37" i="9"/>
  <c r="W25" i="9"/>
  <c r="W36" i="9"/>
  <c r="W24" i="9"/>
  <c r="W35" i="9"/>
  <c r="W23" i="9"/>
  <c r="W34" i="9"/>
  <c r="W22" i="9"/>
  <c r="I3" i="7"/>
  <c r="H12" i="2" s="1"/>
  <c r="I5" i="7" a="1"/>
  <c r="I5" i="7" s="1"/>
  <c r="X16" i="7" a="1"/>
  <c r="G15" i="3" a="1"/>
  <c r="AB35" i="6"/>
  <c r="AB23" i="6"/>
  <c r="AB45" i="6"/>
  <c r="AB33" i="6"/>
  <c r="AB21" i="6"/>
  <c r="AB43" i="6"/>
  <c r="AB31" i="6"/>
  <c r="AB19" i="6"/>
  <c r="AB42" i="6"/>
  <c r="AB30" i="6"/>
  <c r="AB18" i="6"/>
  <c r="AB29" i="6"/>
  <c r="AB28" i="6"/>
  <c r="AB44" i="6"/>
  <c r="AB26" i="6"/>
  <c r="AB41" i="6"/>
  <c r="AB25" i="6"/>
  <c r="AB39" i="6"/>
  <c r="AB22" i="6"/>
  <c r="AB34" i="6"/>
  <c r="AB32" i="6"/>
  <c r="AB24" i="6"/>
  <c r="AB20" i="6"/>
  <c r="AB16" i="6"/>
  <c r="AB40" i="6"/>
  <c r="AB37" i="6"/>
  <c r="AB38" i="6"/>
  <c r="AB36" i="6"/>
  <c r="AB27" i="6"/>
  <c r="AB17" i="6"/>
  <c r="W39" i="6"/>
  <c r="W27" i="6"/>
  <c r="W16" i="6"/>
  <c r="W35" i="6"/>
  <c r="W23" i="6"/>
  <c r="W34" i="6"/>
  <c r="W22" i="6"/>
  <c r="W37" i="6"/>
  <c r="W20" i="6"/>
  <c r="W36" i="6"/>
  <c r="W19" i="6"/>
  <c r="W32" i="6"/>
  <c r="W17" i="6"/>
  <c r="W31" i="6"/>
  <c r="W44" i="6"/>
  <c r="W29" i="6"/>
  <c r="W41" i="6"/>
  <c r="W40" i="6"/>
  <c r="W33" i="6"/>
  <c r="W30" i="6"/>
  <c r="W24" i="6"/>
  <c r="W43" i="6"/>
  <c r="W18" i="6"/>
  <c r="W28" i="6"/>
  <c r="W26" i="6"/>
  <c r="W25" i="6"/>
  <c r="W21" i="6"/>
  <c r="W45" i="6"/>
  <c r="W42" i="6"/>
  <c r="W38" i="6"/>
  <c r="X16" i="8" a="1"/>
  <c r="I3" i="8"/>
  <c r="H13" i="2" s="1"/>
  <c r="I5" i="8" a="1"/>
  <c r="I5" i="8" s="1"/>
  <c r="I15" i="3" a="1"/>
  <c r="W41" i="4"/>
  <c r="W29" i="4"/>
  <c r="W17" i="4"/>
  <c r="W34" i="4"/>
  <c r="W21" i="4"/>
  <c r="W33" i="4"/>
  <c r="W20" i="4"/>
  <c r="W39" i="4"/>
  <c r="W26" i="4"/>
  <c r="W13" i="4"/>
  <c r="W28" i="4"/>
  <c r="W12" i="4"/>
  <c r="W27" i="4"/>
  <c r="W25" i="4"/>
  <c r="W40" i="4"/>
  <c r="W24" i="4"/>
  <c r="W23" i="4"/>
  <c r="W38" i="4"/>
  <c r="W22" i="4"/>
  <c r="W36" i="4"/>
  <c r="W18" i="4"/>
  <c r="W32" i="4"/>
  <c r="W15" i="4"/>
  <c r="W37" i="4"/>
  <c r="W35" i="4"/>
  <c r="W31" i="4"/>
  <c r="W30" i="4"/>
  <c r="W19" i="4"/>
  <c r="W14" i="4"/>
  <c r="W16" i="4"/>
  <c r="AC16" i="9" l="1" a="1"/>
  <c r="AC43" i="9" s="1"/>
  <c r="AC43" i="8"/>
  <c r="AC24" i="7"/>
  <c r="AC22" i="8"/>
  <c r="AC17" i="7"/>
  <c r="AC21" i="8"/>
  <c r="AC31" i="7"/>
  <c r="AC25" i="8"/>
  <c r="AC38" i="7"/>
  <c r="AC39" i="8"/>
  <c r="AC16" i="7"/>
  <c r="AC32" i="8"/>
  <c r="AC38" i="8"/>
  <c r="AC28" i="7"/>
  <c r="AC25" i="7"/>
  <c r="AC30" i="7"/>
  <c r="AC36" i="7"/>
  <c r="AC44" i="7"/>
  <c r="AC28" i="8"/>
  <c r="AC37" i="8"/>
  <c r="AC33" i="7"/>
  <c r="AC21" i="7"/>
  <c r="AC26" i="8"/>
  <c r="AC40" i="7"/>
  <c r="AC33" i="8"/>
  <c r="AC16" i="8"/>
  <c r="AC45" i="7"/>
  <c r="AC37" i="7"/>
  <c r="AC30" i="8"/>
  <c r="AC41" i="7"/>
  <c r="AC40" i="8"/>
  <c r="AC27" i="8"/>
  <c r="AC29" i="7"/>
  <c r="AC26" i="7"/>
  <c r="AC44" i="8"/>
  <c r="AC34" i="8"/>
  <c r="AC17" i="8"/>
  <c r="AC42" i="8"/>
  <c r="AC23" i="8"/>
  <c r="AC29" i="8"/>
  <c r="AC42" i="7"/>
  <c r="AC34" i="7"/>
  <c r="AC27" i="7"/>
  <c r="AC45" i="8"/>
  <c r="AC35" i="8"/>
  <c r="AC41" i="8"/>
  <c r="AC43" i="7"/>
  <c r="AC18" i="7"/>
  <c r="AC39" i="7"/>
  <c r="AC18" i="8"/>
  <c r="AC24" i="8"/>
  <c r="AC19" i="8"/>
  <c r="AC22" i="7"/>
  <c r="AC35" i="7"/>
  <c r="AC20" i="7"/>
  <c r="AC20" i="8"/>
  <c r="AC36" i="8"/>
  <c r="AC23" i="7"/>
  <c r="AC19" i="7"/>
  <c r="X16" i="5" a="1"/>
  <c r="I5" i="5" a="1"/>
  <c r="I5" i="5" s="1"/>
  <c r="I3" i="5"/>
  <c r="H10" i="2" s="1"/>
  <c r="C15" i="3" a="1"/>
  <c r="AC16" i="5" a="1"/>
  <c r="AD16" i="8" a="1"/>
  <c r="AD16" i="7" a="1"/>
  <c r="AD16" i="6" a="1"/>
  <c r="I3" i="4"/>
  <c r="H8" i="2" s="1"/>
  <c r="I5" i="4" a="1"/>
  <c r="I5" i="4" s="1"/>
  <c r="X12" i="4" a="1"/>
  <c r="B15" i="3" a="1"/>
  <c r="AD16" i="5" a="1"/>
  <c r="AD16" i="9" a="1"/>
  <c r="I33" i="3"/>
  <c r="I21" i="3"/>
  <c r="I44" i="3"/>
  <c r="I32" i="3"/>
  <c r="I20" i="3"/>
  <c r="I38" i="3"/>
  <c r="I26" i="3"/>
  <c r="I15" i="3"/>
  <c r="I41" i="3"/>
  <c r="I25" i="3"/>
  <c r="I39" i="3"/>
  <c r="I23" i="3"/>
  <c r="I37" i="3"/>
  <c r="I22" i="3"/>
  <c r="I35" i="3"/>
  <c r="I18" i="3"/>
  <c r="I31" i="3"/>
  <c r="I16" i="3"/>
  <c r="I28" i="3"/>
  <c r="I27" i="3"/>
  <c r="I24" i="3"/>
  <c r="I19" i="3"/>
  <c r="I43" i="3"/>
  <c r="I30" i="3"/>
  <c r="I29" i="3"/>
  <c r="I17" i="3"/>
  <c r="I42" i="3"/>
  <c r="I40" i="3"/>
  <c r="I34" i="3"/>
  <c r="I36" i="3"/>
  <c r="X45" i="8"/>
  <c r="X33" i="8"/>
  <c r="X21" i="8"/>
  <c r="X43" i="8"/>
  <c r="X31" i="8"/>
  <c r="X19" i="8"/>
  <c r="X41" i="8"/>
  <c r="X29" i="8"/>
  <c r="X17" i="8"/>
  <c r="X40" i="8"/>
  <c r="X28" i="8"/>
  <c r="X39" i="8"/>
  <c r="X27" i="8"/>
  <c r="X16" i="8"/>
  <c r="X38" i="8"/>
  <c r="X26" i="8"/>
  <c r="X32" i="8"/>
  <c r="X30" i="8"/>
  <c r="X25" i="8"/>
  <c r="X24" i="8"/>
  <c r="X23" i="8"/>
  <c r="X44" i="8"/>
  <c r="X20" i="8"/>
  <c r="X42" i="8"/>
  <c r="X18" i="8"/>
  <c r="X37" i="8"/>
  <c r="X36" i="8"/>
  <c r="X35" i="8"/>
  <c r="X34" i="8"/>
  <c r="X22" i="8"/>
  <c r="AC16" i="6" a="1"/>
  <c r="G35" i="3"/>
  <c r="G23" i="3"/>
  <c r="G34" i="3"/>
  <c r="G22" i="3"/>
  <c r="G40" i="3"/>
  <c r="G28" i="3"/>
  <c r="G16" i="3"/>
  <c r="G39" i="3"/>
  <c r="G24" i="3"/>
  <c r="G37" i="3"/>
  <c r="G20" i="3"/>
  <c r="G36" i="3"/>
  <c r="G19" i="3"/>
  <c r="G32" i="3"/>
  <c r="G17" i="3"/>
  <c r="G30" i="3"/>
  <c r="G15" i="3"/>
  <c r="G33" i="3"/>
  <c r="G31" i="3"/>
  <c r="G29" i="3"/>
  <c r="G27" i="3"/>
  <c r="G26" i="3"/>
  <c r="G25" i="3"/>
  <c r="G38" i="3"/>
  <c r="G21" i="3"/>
  <c r="G44" i="3"/>
  <c r="G18" i="3"/>
  <c r="G42" i="3"/>
  <c r="G43" i="3"/>
  <c r="G41" i="3"/>
  <c r="X43" i="7"/>
  <c r="X31" i="7"/>
  <c r="X19" i="7"/>
  <c r="X41" i="7"/>
  <c r="X29" i="7"/>
  <c r="X17" i="7"/>
  <c r="X39" i="7"/>
  <c r="X27" i="7"/>
  <c r="X16" i="7"/>
  <c r="X37" i="7"/>
  <c r="X25" i="7"/>
  <c r="X36" i="7"/>
  <c r="X24" i="7"/>
  <c r="X42" i="7"/>
  <c r="X21" i="7"/>
  <c r="X40" i="7"/>
  <c r="X20" i="7"/>
  <c r="X38" i="7"/>
  <c r="X18" i="7"/>
  <c r="X34" i="7"/>
  <c r="X33" i="7"/>
  <c r="X30" i="7"/>
  <c r="X45" i="7"/>
  <c r="X44" i="7"/>
  <c r="X32" i="7"/>
  <c r="X28" i="7"/>
  <c r="X26" i="7"/>
  <c r="X23" i="7"/>
  <c r="X22" i="7"/>
  <c r="X35" i="7"/>
  <c r="I3" i="9"/>
  <c r="X16" i="9" a="1"/>
  <c r="I5" i="9" a="1"/>
  <c r="I5" i="9" s="1"/>
  <c r="K15" i="3" a="1"/>
  <c r="X16" i="6" a="1"/>
  <c r="I5" i="6" a="1"/>
  <c r="I5" i="6" s="1"/>
  <c r="E15" i="3" a="1"/>
  <c r="I3" i="6"/>
  <c r="H11" i="2" s="1"/>
  <c r="AC44" i="9" l="1"/>
  <c r="AC45" i="9"/>
  <c r="AC23" i="9"/>
  <c r="AC36" i="9"/>
  <c r="AC25" i="9"/>
  <c r="AC16" i="9"/>
  <c r="AC21" i="9"/>
  <c r="AC32" i="9"/>
  <c r="AC31" i="9"/>
  <c r="AC35" i="9"/>
  <c r="AC33" i="9"/>
  <c r="AC28" i="9"/>
  <c r="AC39" i="9"/>
  <c r="AC17" i="9"/>
  <c r="AC18" i="9"/>
  <c r="AC40" i="9"/>
  <c r="AC22" i="9"/>
  <c r="AC29" i="9"/>
  <c r="AC41" i="9"/>
  <c r="AC24" i="9"/>
  <c r="AC20" i="9"/>
  <c r="AC37" i="9"/>
  <c r="AC30" i="9"/>
  <c r="AC34" i="9"/>
  <c r="AC26" i="9"/>
  <c r="AC42" i="9"/>
  <c r="AC38" i="9"/>
  <c r="AC19" i="9"/>
  <c r="AC27" i="9"/>
  <c r="I4" i="8"/>
  <c r="C8" i="3" s="1"/>
  <c r="I4" i="7"/>
  <c r="C7" i="3" s="1"/>
  <c r="X34" i="4"/>
  <c r="X22" i="4"/>
  <c r="X29" i="4"/>
  <c r="X16" i="4"/>
  <c r="X41" i="4"/>
  <c r="X28" i="4"/>
  <c r="X15" i="4"/>
  <c r="X35" i="4"/>
  <c r="X21" i="4"/>
  <c r="X32" i="4"/>
  <c r="X14" i="4"/>
  <c r="X13" i="4"/>
  <c r="X31" i="4"/>
  <c r="X30" i="4"/>
  <c r="X27" i="4"/>
  <c r="X12" i="4"/>
  <c r="X26" i="4"/>
  <c r="X25" i="4"/>
  <c r="X39" i="4"/>
  <c r="X23" i="4"/>
  <c r="X37" i="4"/>
  <c r="X19" i="4"/>
  <c r="X20" i="4"/>
  <c r="X33" i="4"/>
  <c r="X18" i="4"/>
  <c r="X17" i="4"/>
  <c r="X24" i="4"/>
  <c r="X40" i="4"/>
  <c r="X36" i="4"/>
  <c r="X38" i="4"/>
  <c r="B33" i="3"/>
  <c r="B21" i="3"/>
  <c r="B43" i="3"/>
  <c r="B31" i="3"/>
  <c r="B19" i="3"/>
  <c r="B42" i="3"/>
  <c r="B30" i="3"/>
  <c r="B18" i="3"/>
  <c r="B40" i="3"/>
  <c r="B28" i="3"/>
  <c r="B16" i="3"/>
  <c r="B38" i="3"/>
  <c r="B26" i="3"/>
  <c r="B15" i="3"/>
  <c r="B37" i="3"/>
  <c r="B17" i="3"/>
  <c r="B22" i="3"/>
  <c r="B36" i="3"/>
  <c r="B35" i="3"/>
  <c r="B39" i="3"/>
  <c r="B34" i="3"/>
  <c r="B41" i="3"/>
  <c r="B32" i="3"/>
  <c r="B29" i="3"/>
  <c r="B27" i="3"/>
  <c r="B24" i="3"/>
  <c r="B25" i="3"/>
  <c r="B23" i="3"/>
  <c r="B44" i="3"/>
  <c r="B20" i="3"/>
  <c r="E37" i="3"/>
  <c r="E25" i="3"/>
  <c r="E36" i="3"/>
  <c r="E24" i="3"/>
  <c r="E42" i="3"/>
  <c r="E30" i="3"/>
  <c r="E18" i="3"/>
  <c r="E38" i="3"/>
  <c r="E21" i="3"/>
  <c r="E34" i="3"/>
  <c r="E19" i="3"/>
  <c r="E33" i="3"/>
  <c r="E17" i="3"/>
  <c r="E31" i="3"/>
  <c r="E44" i="3"/>
  <c r="E28" i="3"/>
  <c r="E41" i="3"/>
  <c r="E15" i="3"/>
  <c r="E40" i="3"/>
  <c r="E20" i="3"/>
  <c r="E39" i="3"/>
  <c r="E35" i="3"/>
  <c r="E32" i="3"/>
  <c r="E29" i="3"/>
  <c r="E16" i="3"/>
  <c r="E27" i="3"/>
  <c r="E43" i="3"/>
  <c r="E26" i="3"/>
  <c r="E23" i="3"/>
  <c r="E22" i="3"/>
  <c r="X44" i="6"/>
  <c r="X32" i="6"/>
  <c r="X20" i="6"/>
  <c r="X40" i="6"/>
  <c r="X28" i="6"/>
  <c r="X39" i="6"/>
  <c r="X27" i="6"/>
  <c r="X16" i="6"/>
  <c r="X37" i="6"/>
  <c r="X22" i="6"/>
  <c r="X36" i="6"/>
  <c r="X21" i="6"/>
  <c r="X34" i="6"/>
  <c r="X18" i="6"/>
  <c r="X33" i="6"/>
  <c r="X17" i="6"/>
  <c r="X30" i="6"/>
  <c r="X38" i="6"/>
  <c r="X35" i="6"/>
  <c r="X29" i="6"/>
  <c r="X26" i="6"/>
  <c r="X45" i="6"/>
  <c r="X19" i="6"/>
  <c r="X42" i="6"/>
  <c r="X43" i="6"/>
  <c r="X41" i="6"/>
  <c r="X31" i="6"/>
  <c r="X24" i="6"/>
  <c r="X23" i="6"/>
  <c r="X25" i="6"/>
  <c r="AD45" i="6"/>
  <c r="AD33" i="6"/>
  <c r="AD21" i="6"/>
  <c r="AD43" i="6"/>
  <c r="AD31" i="6"/>
  <c r="AD19" i="6"/>
  <c r="AD41" i="6"/>
  <c r="AD29" i="6"/>
  <c r="AD17" i="6"/>
  <c r="AD40" i="6"/>
  <c r="AD28" i="6"/>
  <c r="AD39" i="6"/>
  <c r="AD23" i="6"/>
  <c r="AD38" i="6"/>
  <c r="AD22" i="6"/>
  <c r="AD36" i="6"/>
  <c r="AD18" i="6"/>
  <c r="AD35" i="6"/>
  <c r="AD16" i="6"/>
  <c r="AE16" i="6" s="1" a="1"/>
  <c r="AD32" i="6"/>
  <c r="AD30" i="6"/>
  <c r="AD27" i="6"/>
  <c r="AD25" i="6"/>
  <c r="AD24" i="6"/>
  <c r="AD44" i="6"/>
  <c r="AD37" i="6"/>
  <c r="AD42" i="6"/>
  <c r="AD26" i="6"/>
  <c r="AD20" i="6"/>
  <c r="AD34" i="6"/>
  <c r="K43" i="3"/>
  <c r="K31" i="3"/>
  <c r="K19" i="3"/>
  <c r="K42" i="3"/>
  <c r="K30" i="3"/>
  <c r="K18" i="3"/>
  <c r="K36" i="3"/>
  <c r="K24" i="3"/>
  <c r="K44" i="3"/>
  <c r="K27" i="3"/>
  <c r="K41" i="3"/>
  <c r="K26" i="3"/>
  <c r="K40" i="3"/>
  <c r="K25" i="3"/>
  <c r="K22" i="3"/>
  <c r="K39" i="3"/>
  <c r="K23" i="3"/>
  <c r="K38" i="3"/>
  <c r="K37" i="3"/>
  <c r="K21" i="3"/>
  <c r="K34" i="3"/>
  <c r="K17" i="3"/>
  <c r="K32" i="3"/>
  <c r="K35" i="3"/>
  <c r="K33" i="3"/>
  <c r="K29" i="3"/>
  <c r="K28" i="3"/>
  <c r="K16" i="3"/>
  <c r="K20" i="3"/>
  <c r="K15" i="3"/>
  <c r="AD37" i="7"/>
  <c r="AD25" i="7"/>
  <c r="AD44" i="7"/>
  <c r="AD32" i="7"/>
  <c r="AD20" i="7"/>
  <c r="AD43" i="7"/>
  <c r="AD31" i="7"/>
  <c r="AD19" i="7"/>
  <c r="AD42" i="7"/>
  <c r="AD30" i="7"/>
  <c r="AD18" i="7"/>
  <c r="AD45" i="7"/>
  <c r="AD26" i="7"/>
  <c r="AD41" i="7"/>
  <c r="AD24" i="7"/>
  <c r="AD40" i="7"/>
  <c r="AD23" i="7"/>
  <c r="AD39" i="7"/>
  <c r="AD22" i="7"/>
  <c r="AD36" i="7"/>
  <c r="AD17" i="7"/>
  <c r="AD35" i="7"/>
  <c r="AD34" i="7"/>
  <c r="AD16" i="7"/>
  <c r="AE16" i="7" s="1" a="1"/>
  <c r="AD33" i="7"/>
  <c r="AD38" i="7"/>
  <c r="AD29" i="7"/>
  <c r="AD28" i="7"/>
  <c r="AD27" i="7"/>
  <c r="AD21" i="7"/>
  <c r="AD36" i="8"/>
  <c r="AD24" i="8"/>
  <c r="AD34" i="8"/>
  <c r="AD22" i="8"/>
  <c r="AD44" i="8"/>
  <c r="AD32" i="8"/>
  <c r="AD20" i="8"/>
  <c r="AD43" i="8"/>
  <c r="AD31" i="8"/>
  <c r="AD19" i="8"/>
  <c r="AD42" i="8"/>
  <c r="AD30" i="8"/>
  <c r="AD18" i="8"/>
  <c r="AD41" i="8"/>
  <c r="AD29" i="8"/>
  <c r="AD17" i="8"/>
  <c r="AD40" i="8"/>
  <c r="AD28" i="8"/>
  <c r="AD39" i="8"/>
  <c r="AD27" i="8"/>
  <c r="AD16" i="8"/>
  <c r="AE16" i="8" s="1" a="1"/>
  <c r="AD45" i="8"/>
  <c r="AD38" i="8"/>
  <c r="AD37" i="8"/>
  <c r="AD35" i="8"/>
  <c r="AD33" i="8"/>
  <c r="AD26" i="8"/>
  <c r="AD25" i="8"/>
  <c r="AD23" i="8"/>
  <c r="AD21" i="8"/>
  <c r="AC39" i="5"/>
  <c r="AC27" i="5"/>
  <c r="AC16" i="5"/>
  <c r="AC37" i="5"/>
  <c r="AC25" i="5"/>
  <c r="AC36" i="5"/>
  <c r="AC24" i="5"/>
  <c r="AC34" i="5"/>
  <c r="AC22" i="5"/>
  <c r="AC43" i="5"/>
  <c r="AC26" i="5"/>
  <c r="AC40" i="5"/>
  <c r="AC20" i="5"/>
  <c r="AC38" i="5"/>
  <c r="AC19" i="5"/>
  <c r="AC31" i="5"/>
  <c r="AC45" i="5"/>
  <c r="AC29" i="5"/>
  <c r="AC42" i="5"/>
  <c r="AC41" i="5"/>
  <c r="AC35" i="5"/>
  <c r="AC33" i="5"/>
  <c r="AC32" i="5"/>
  <c r="AC30" i="5"/>
  <c r="AC23" i="5"/>
  <c r="AC21" i="5"/>
  <c r="AC18" i="5"/>
  <c r="AC44" i="5"/>
  <c r="AC28" i="5"/>
  <c r="AC17" i="5"/>
  <c r="X38" i="9"/>
  <c r="X26" i="9"/>
  <c r="X37" i="9"/>
  <c r="X25" i="9"/>
  <c r="X36" i="9"/>
  <c r="X24" i="9"/>
  <c r="X35" i="9"/>
  <c r="X23" i="9"/>
  <c r="X34" i="9"/>
  <c r="X22" i="9"/>
  <c r="X45" i="9"/>
  <c r="X33" i="9"/>
  <c r="X21" i="9"/>
  <c r="X44" i="9"/>
  <c r="X32" i="9"/>
  <c r="X20" i="9"/>
  <c r="X43" i="9"/>
  <c r="X31" i="9"/>
  <c r="X19" i="9"/>
  <c r="X42" i="9"/>
  <c r="X30" i="9"/>
  <c r="X18" i="9"/>
  <c r="X41" i="9"/>
  <c r="X29" i="9"/>
  <c r="X17" i="9"/>
  <c r="X40" i="9"/>
  <c r="X28" i="9"/>
  <c r="X39" i="9"/>
  <c r="X27" i="9"/>
  <c r="X16" i="9"/>
  <c r="C39" i="3"/>
  <c r="C27" i="3"/>
  <c r="C44" i="3"/>
  <c r="C40" i="3"/>
  <c r="C26" i="3"/>
  <c r="C15" i="3"/>
  <c r="C37" i="3"/>
  <c r="C24" i="3"/>
  <c r="C36" i="3"/>
  <c r="C23" i="3"/>
  <c r="C34" i="3"/>
  <c r="C21" i="3"/>
  <c r="C32" i="3"/>
  <c r="C19" i="3"/>
  <c r="C29" i="3"/>
  <c r="C31" i="3"/>
  <c r="C28" i="3"/>
  <c r="C25" i="3"/>
  <c r="C22" i="3"/>
  <c r="C30" i="3"/>
  <c r="C43" i="3"/>
  <c r="C20" i="3"/>
  <c r="C42" i="3"/>
  <c r="C18" i="3"/>
  <c r="C41" i="3"/>
  <c r="C17" i="3"/>
  <c r="C38" i="3"/>
  <c r="C16" i="3"/>
  <c r="C35" i="3"/>
  <c r="C33" i="3"/>
  <c r="AC40" i="6"/>
  <c r="AC28" i="6"/>
  <c r="AC38" i="6"/>
  <c r="AC26" i="6"/>
  <c r="AC36" i="6"/>
  <c r="AC24" i="6"/>
  <c r="AC35" i="6"/>
  <c r="AC23" i="6"/>
  <c r="AC34" i="6"/>
  <c r="AC18" i="6"/>
  <c r="AC33" i="6"/>
  <c r="AC17" i="6"/>
  <c r="AC31" i="6"/>
  <c r="AC30" i="6"/>
  <c r="AC44" i="6"/>
  <c r="AC27" i="6"/>
  <c r="AC32" i="6"/>
  <c r="AC29" i="6"/>
  <c r="AC22" i="6"/>
  <c r="AC21" i="6"/>
  <c r="AC45" i="6"/>
  <c r="AC19" i="6"/>
  <c r="AC43" i="6"/>
  <c r="AC16" i="6"/>
  <c r="AC42" i="6"/>
  <c r="AC39" i="6"/>
  <c r="AC20" i="6"/>
  <c r="AC41" i="6"/>
  <c r="AC37" i="6"/>
  <c r="AC25" i="6"/>
  <c r="AD39" i="9"/>
  <c r="AD27" i="9"/>
  <c r="AD16" i="9"/>
  <c r="AE16" i="9" s="1" a="1"/>
  <c r="AD38" i="9"/>
  <c r="AD26" i="9"/>
  <c r="AD37" i="9"/>
  <c r="AD25" i="9"/>
  <c r="AD36" i="9"/>
  <c r="AD24" i="9"/>
  <c r="AD35" i="9"/>
  <c r="AD23" i="9"/>
  <c r="AD34" i="9"/>
  <c r="AD22" i="9"/>
  <c r="AD45" i="9"/>
  <c r="AD33" i="9"/>
  <c r="AD21" i="9"/>
  <c r="AD44" i="9"/>
  <c r="AD32" i="9"/>
  <c r="AD20" i="9"/>
  <c r="AD43" i="9"/>
  <c r="AD31" i="9"/>
  <c r="AD19" i="9"/>
  <c r="AD42" i="9"/>
  <c r="AD30" i="9"/>
  <c r="AD18" i="9"/>
  <c r="AD41" i="9"/>
  <c r="AD29" i="9"/>
  <c r="AD17" i="9"/>
  <c r="AD40" i="9"/>
  <c r="AD28" i="9"/>
  <c r="AD44" i="5"/>
  <c r="AD32" i="5"/>
  <c r="AD20" i="5"/>
  <c r="AD42" i="5"/>
  <c r="AD30" i="5"/>
  <c r="AD18" i="5"/>
  <c r="AD41" i="5"/>
  <c r="AD29" i="5"/>
  <c r="AD17" i="5"/>
  <c r="AD39" i="5"/>
  <c r="AD27" i="5"/>
  <c r="AD16" i="5"/>
  <c r="AE16" i="5" s="1" a="1"/>
  <c r="AD31" i="5"/>
  <c r="AD45" i="5"/>
  <c r="AD25" i="5"/>
  <c r="AD43" i="5"/>
  <c r="AD24" i="5"/>
  <c r="AD36" i="5"/>
  <c r="AD19" i="5"/>
  <c r="AD34" i="5"/>
  <c r="AD40" i="5"/>
  <c r="AD38" i="5"/>
  <c r="AD37" i="5"/>
  <c r="AD35" i="5"/>
  <c r="AD33" i="5"/>
  <c r="AD28" i="5"/>
  <c r="AD23" i="5"/>
  <c r="AD22" i="5"/>
  <c r="AD21" i="5"/>
  <c r="AD26" i="5"/>
  <c r="X43" i="5"/>
  <c r="X31" i="5"/>
  <c r="X19" i="5"/>
  <c r="X41" i="5"/>
  <c r="X29" i="5"/>
  <c r="X17" i="5"/>
  <c r="X40" i="5"/>
  <c r="X28" i="5"/>
  <c r="X38" i="5"/>
  <c r="X26" i="5"/>
  <c r="X36" i="5"/>
  <c r="X20" i="5"/>
  <c r="X35" i="5"/>
  <c r="X18" i="5"/>
  <c r="X45" i="5"/>
  <c r="X25" i="5"/>
  <c r="X22" i="5"/>
  <c r="X21" i="5"/>
  <c r="X44" i="5"/>
  <c r="X42" i="5"/>
  <c r="X16" i="5"/>
  <c r="X39" i="5"/>
  <c r="X37" i="5"/>
  <c r="X34" i="5"/>
  <c r="X32" i="5"/>
  <c r="X30" i="5"/>
  <c r="X27" i="5"/>
  <c r="X33" i="5"/>
  <c r="X23" i="5"/>
  <c r="X24" i="5"/>
  <c r="I4" i="9" l="1"/>
  <c r="H14" i="2" s="1"/>
  <c r="G13" i="2"/>
  <c r="G12" i="2"/>
  <c r="I4" i="6"/>
  <c r="C6" i="3" s="1"/>
  <c r="I4" i="5"/>
  <c r="G10" i="2" s="1"/>
  <c r="I4" i="4"/>
  <c r="G8" i="2" s="1"/>
  <c r="AE37" i="5"/>
  <c r="AE25" i="5"/>
  <c r="AE35" i="5"/>
  <c r="AE23" i="5"/>
  <c r="AE34" i="5"/>
  <c r="AE22" i="5"/>
  <c r="AE44" i="5"/>
  <c r="AE32" i="5"/>
  <c r="AE20" i="5"/>
  <c r="AE36" i="5"/>
  <c r="AE17" i="5"/>
  <c r="AE33" i="5"/>
  <c r="AE30" i="5"/>
  <c r="AE29" i="5"/>
  <c r="AE41" i="5"/>
  <c r="AE24" i="5"/>
  <c r="AE39" i="5"/>
  <c r="AE19" i="5"/>
  <c r="AE45" i="5"/>
  <c r="AE43" i="5"/>
  <c r="AE42" i="5"/>
  <c r="AE40" i="5"/>
  <c r="AE38" i="5"/>
  <c r="AE31" i="5"/>
  <c r="AE27" i="5"/>
  <c r="AE26" i="5"/>
  <c r="AE21" i="5"/>
  <c r="AE28" i="5"/>
  <c r="AE18" i="5"/>
  <c r="AE16" i="5"/>
  <c r="AE40" i="6"/>
  <c r="AE28" i="6"/>
  <c r="AE38" i="6"/>
  <c r="AE26" i="6"/>
  <c r="AE36" i="6"/>
  <c r="AE24" i="6"/>
  <c r="AE34" i="6"/>
  <c r="AE22" i="6"/>
  <c r="AE45" i="6"/>
  <c r="AE33" i="6"/>
  <c r="AE21" i="6"/>
  <c r="AE30" i="6"/>
  <c r="AE29" i="6"/>
  <c r="AE44" i="6"/>
  <c r="AE25" i="6"/>
  <c r="P7" i="6" s="1" a="1"/>
  <c r="P7" i="6" s="1"/>
  <c r="P8" i="6" s="1"/>
  <c r="AE43" i="6"/>
  <c r="AE23" i="6"/>
  <c r="AE41" i="6"/>
  <c r="AE19" i="6"/>
  <c r="AE35" i="6"/>
  <c r="AE32" i="6"/>
  <c r="AE27" i="6"/>
  <c r="AE20" i="6"/>
  <c r="AE17" i="6"/>
  <c r="AE16" i="6"/>
  <c r="AE39" i="6"/>
  <c r="AE42" i="6"/>
  <c r="AE37" i="6"/>
  <c r="AE31" i="6"/>
  <c r="AE18" i="6"/>
  <c r="H15" i="3" a="1"/>
  <c r="F15" i="3" a="1"/>
  <c r="D15" i="3" a="1"/>
  <c r="J15" i="3" a="1"/>
  <c r="L15" i="3" a="1"/>
  <c r="AE41" i="8"/>
  <c r="AE29" i="8"/>
  <c r="AE17" i="8"/>
  <c r="AE40" i="8"/>
  <c r="AE28" i="8"/>
  <c r="AE39" i="8"/>
  <c r="AE27" i="8"/>
  <c r="AE16" i="8"/>
  <c r="AE37" i="8"/>
  <c r="AE25" i="8"/>
  <c r="P7" i="8" s="1" a="1"/>
  <c r="P7" i="8" s="1"/>
  <c r="P8" i="8" s="1"/>
  <c r="AE36" i="8"/>
  <c r="AE24" i="8"/>
  <c r="AE35" i="8"/>
  <c r="AE23" i="8"/>
  <c r="AE34" i="8"/>
  <c r="AE22" i="8"/>
  <c r="AE45" i="8"/>
  <c r="AE33" i="8"/>
  <c r="AE21" i="8"/>
  <c r="AE44" i="8"/>
  <c r="AE32" i="8"/>
  <c r="AE20" i="8"/>
  <c r="AE43" i="8"/>
  <c r="AE42" i="8"/>
  <c r="AE38" i="8"/>
  <c r="AE31" i="8"/>
  <c r="AE30" i="8"/>
  <c r="AE26" i="8"/>
  <c r="AE19" i="8"/>
  <c r="AE18" i="8"/>
  <c r="AE44" i="9"/>
  <c r="AE32" i="9"/>
  <c r="AE20" i="9"/>
  <c r="AE43" i="9"/>
  <c r="AE31" i="9"/>
  <c r="AE19" i="9"/>
  <c r="AE42" i="9"/>
  <c r="AE30" i="9"/>
  <c r="AE18" i="9"/>
  <c r="AE41" i="9"/>
  <c r="AE29" i="9"/>
  <c r="AE17" i="9"/>
  <c r="AE40" i="9"/>
  <c r="AE28" i="9"/>
  <c r="AE39" i="9"/>
  <c r="AE27" i="9"/>
  <c r="AE16" i="9"/>
  <c r="AE38" i="9"/>
  <c r="AE26" i="9"/>
  <c r="AE37" i="9"/>
  <c r="AE25" i="9"/>
  <c r="AE36" i="9"/>
  <c r="AE24" i="9"/>
  <c r="AE35" i="9"/>
  <c r="AE23" i="9"/>
  <c r="AE34" i="9"/>
  <c r="AE22" i="9"/>
  <c r="AE45" i="9"/>
  <c r="AE33" i="9"/>
  <c r="AE21" i="9"/>
  <c r="AE42" i="7"/>
  <c r="AE30" i="7"/>
  <c r="AE18" i="7"/>
  <c r="AE40" i="7"/>
  <c r="AE28" i="7"/>
  <c r="AE37" i="7"/>
  <c r="AE25" i="7"/>
  <c r="P7" i="7" s="1" a="1"/>
  <c r="P7" i="7" s="1"/>
  <c r="P8" i="7" s="1"/>
  <c r="AE36" i="7"/>
  <c r="AE24" i="7"/>
  <c r="AE35" i="7"/>
  <c r="AE23" i="7"/>
  <c r="AE33" i="7"/>
  <c r="AE32" i="7"/>
  <c r="AE31" i="7"/>
  <c r="AE29" i="7"/>
  <c r="AE45" i="7"/>
  <c r="AE26" i="7"/>
  <c r="AE44" i="7"/>
  <c r="AE22" i="7"/>
  <c r="AE43" i="7"/>
  <c r="AE21" i="7"/>
  <c r="AE41" i="7"/>
  <c r="AE20" i="7"/>
  <c r="AE34" i="7"/>
  <c r="AE27" i="7"/>
  <c r="AE19" i="7"/>
  <c r="AE16" i="7"/>
  <c r="AE39" i="7"/>
  <c r="AE17" i="7"/>
  <c r="AE38" i="7"/>
  <c r="C9" i="3" l="1"/>
  <c r="G11" i="2"/>
  <c r="G14" i="2"/>
  <c r="P7" i="5" a="1"/>
  <c r="P7" i="5" s="1"/>
  <c r="P8" i="5" s="1"/>
  <c r="O4" i="9" a="1"/>
  <c r="O4" i="9" s="1"/>
  <c r="O4" i="8" a="1"/>
  <c r="O4" i="8" s="1"/>
  <c r="O4" i="7" a="1"/>
  <c r="O4" i="7" s="1"/>
  <c r="P7" i="9" a="1"/>
  <c r="P7" i="9" s="1"/>
  <c r="P8" i="9" s="1"/>
  <c r="P11" i="9" s="1"/>
  <c r="P4" i="9" s="1"/>
  <c r="O4" i="6" a="1"/>
  <c r="O4" i="6" s="1"/>
  <c r="F6" i="3" s="1"/>
  <c r="O4" i="5" a="1"/>
  <c r="O4" i="5" s="1"/>
  <c r="P11" i="8"/>
  <c r="P4" i="8" s="1"/>
  <c r="N4" i="8"/>
  <c r="N4" i="7"/>
  <c r="P11" i="7"/>
  <c r="P4" i="7" s="1"/>
  <c r="N4" i="6"/>
  <c r="P11" i="6"/>
  <c r="P4" i="6" s="1"/>
  <c r="P11" i="5"/>
  <c r="P4" i="5" s="1"/>
  <c r="N4" i="5"/>
  <c r="C5" i="3"/>
  <c r="C4" i="3"/>
  <c r="L36" i="3"/>
  <c r="L24" i="3"/>
  <c r="L35" i="3"/>
  <c r="L23" i="3"/>
  <c r="L41" i="3"/>
  <c r="L29" i="3"/>
  <c r="L17" i="3"/>
  <c r="L44" i="3"/>
  <c r="L28" i="3"/>
  <c r="L43" i="3"/>
  <c r="L27" i="3"/>
  <c r="L42" i="3"/>
  <c r="L26" i="3"/>
  <c r="L22" i="3"/>
  <c r="L40" i="3"/>
  <c r="L25" i="3"/>
  <c r="L39" i="3"/>
  <c r="L38" i="3"/>
  <c r="L21" i="3"/>
  <c r="L34" i="3"/>
  <c r="L19" i="3"/>
  <c r="L32" i="3"/>
  <c r="L16" i="3"/>
  <c r="L33" i="3"/>
  <c r="L37" i="3"/>
  <c r="L31" i="3"/>
  <c r="L15" i="3"/>
  <c r="L30" i="3"/>
  <c r="L20" i="3"/>
  <c r="L18" i="3"/>
  <c r="J38" i="3"/>
  <c r="J26" i="3"/>
  <c r="J15" i="3"/>
  <c r="J37" i="3"/>
  <c r="J25" i="3"/>
  <c r="J43" i="3"/>
  <c r="J31" i="3"/>
  <c r="J19" i="3"/>
  <c r="J42" i="3"/>
  <c r="J27" i="3"/>
  <c r="J41" i="3"/>
  <c r="J40" i="3"/>
  <c r="J23" i="3"/>
  <c r="J39" i="3"/>
  <c r="J22" i="3"/>
  <c r="J35" i="3"/>
  <c r="J20" i="3"/>
  <c r="J33" i="3"/>
  <c r="J17" i="3"/>
  <c r="J30" i="3"/>
  <c r="J28" i="3"/>
  <c r="J24" i="3"/>
  <c r="J21" i="3"/>
  <c r="J18" i="3"/>
  <c r="J16" i="3"/>
  <c r="J32" i="3"/>
  <c r="J29" i="3"/>
  <c r="J44" i="3"/>
  <c r="J34" i="3"/>
  <c r="J36" i="3"/>
  <c r="D44" i="3"/>
  <c r="D32" i="3"/>
  <c r="D20" i="3"/>
  <c r="D37" i="3"/>
  <c r="D25" i="3"/>
  <c r="D38" i="3"/>
  <c r="D23" i="3"/>
  <c r="D35" i="3"/>
  <c r="D21" i="3"/>
  <c r="D34" i="3"/>
  <c r="D19" i="3"/>
  <c r="D31" i="3"/>
  <c r="D17" i="3"/>
  <c r="D43" i="3"/>
  <c r="D29" i="3"/>
  <c r="D22" i="3"/>
  <c r="D42" i="3"/>
  <c r="D18" i="3"/>
  <c r="D41" i="3"/>
  <c r="D16" i="3"/>
  <c r="D40" i="3"/>
  <c r="D15" i="3"/>
  <c r="D26" i="3"/>
  <c r="D39" i="3"/>
  <c r="D36" i="3"/>
  <c r="D33" i="3"/>
  <c r="D30" i="3"/>
  <c r="D27" i="3"/>
  <c r="D28" i="3"/>
  <c r="D24" i="3"/>
  <c r="F42" i="3"/>
  <c r="F30" i="3"/>
  <c r="F18" i="3"/>
  <c r="F41" i="3"/>
  <c r="F29" i="3"/>
  <c r="F17" i="3"/>
  <c r="F35" i="3"/>
  <c r="F23" i="3"/>
  <c r="F38" i="3"/>
  <c r="F22" i="3"/>
  <c r="F36" i="3"/>
  <c r="F20" i="3"/>
  <c r="F34" i="3"/>
  <c r="F19" i="3"/>
  <c r="F32" i="3"/>
  <c r="F28" i="3"/>
  <c r="F39" i="3"/>
  <c r="F15" i="3"/>
  <c r="F37" i="3"/>
  <c r="F40" i="3"/>
  <c r="F33" i="3"/>
  <c r="F31" i="3"/>
  <c r="F43" i="3"/>
  <c r="F27" i="3"/>
  <c r="F26" i="3"/>
  <c r="F25" i="3"/>
  <c r="F24" i="3"/>
  <c r="F16" i="3"/>
  <c r="F21" i="3"/>
  <c r="F44" i="3"/>
  <c r="H40" i="3"/>
  <c r="H28" i="3"/>
  <c r="H16" i="3"/>
  <c r="H39" i="3"/>
  <c r="H27" i="3"/>
  <c r="H33" i="3"/>
  <c r="H21" i="3"/>
  <c r="H41" i="3"/>
  <c r="H24" i="3"/>
  <c r="H37" i="3"/>
  <c r="H22" i="3"/>
  <c r="H36" i="3"/>
  <c r="H20" i="3"/>
  <c r="H34" i="3"/>
  <c r="H18" i="3"/>
  <c r="H31" i="3"/>
  <c r="H15" i="3"/>
  <c r="H30" i="3"/>
  <c r="H35" i="3"/>
  <c r="H29" i="3"/>
  <c r="H26" i="3"/>
  <c r="H25" i="3"/>
  <c r="H23" i="3"/>
  <c r="H19" i="3"/>
  <c r="H44" i="3"/>
  <c r="H17" i="3"/>
  <c r="H43" i="3"/>
  <c r="H42" i="3"/>
  <c r="H38" i="3"/>
  <c r="H32" i="3"/>
  <c r="N4" i="9" l="1"/>
  <c r="H9" i="3" s="1"/>
  <c r="F7" i="3"/>
  <c r="J12" i="2"/>
  <c r="F8" i="3"/>
  <c r="J13" i="2"/>
  <c r="J14" i="2"/>
  <c r="F9" i="3"/>
  <c r="J11" i="2"/>
  <c r="F5" i="3"/>
  <c r="J10" i="2"/>
  <c r="K14" i="2"/>
  <c r="G9" i="3"/>
  <c r="L13" i="2"/>
  <c r="H8" i="3"/>
  <c r="K13" i="2"/>
  <c r="G8" i="3"/>
  <c r="K12" i="2"/>
  <c r="G7" i="3"/>
  <c r="H7" i="3"/>
  <c r="L12" i="2"/>
  <c r="L11" i="2"/>
  <c r="H6" i="3"/>
  <c r="K11" i="2"/>
  <c r="G6" i="3"/>
  <c r="L10" i="2"/>
  <c r="H5" i="3"/>
  <c r="G5" i="3"/>
  <c r="K10" i="2"/>
  <c r="L12" i="3" a="1"/>
  <c r="L12" i="3" s="1"/>
  <c r="D9" i="3" s="1"/>
  <c r="J12" i="3" a="1"/>
  <c r="J12" i="3" s="1"/>
  <c r="I13" i="2" s="1"/>
  <c r="H12" i="3" a="1"/>
  <c r="H12" i="3" s="1"/>
  <c r="I12" i="2" s="1"/>
  <c r="F12" i="3" a="1"/>
  <c r="F12" i="3" s="1"/>
  <c r="I11" i="2" s="1"/>
  <c r="D12" i="3" a="1"/>
  <c r="D12" i="3" s="1"/>
  <c r="I10" i="2" s="1"/>
  <c r="L14" i="2" l="1"/>
  <c r="D6" i="3"/>
  <c r="I14" i="2"/>
  <c r="D8" i="3"/>
  <c r="D7" i="3"/>
  <c r="D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<sst xmlns="http://schemas.openxmlformats.org/spreadsheetml/2006/main" count="400" uniqueCount="111">
  <si>
    <t>The following contents are provided in this NPV Calculator.</t>
  </si>
  <si>
    <t>Sheet</t>
  </si>
  <si>
    <t>Description</t>
  </si>
  <si>
    <t>Summary Financial Comparisons</t>
  </si>
  <si>
    <t xml:space="preserve">ROW Vegetation Management Approaches: Comparing Maintenance Budget Alternatives
Defined VM Management Program options and  Summary Financial Comparisons including the baseline, status quo, and four Alternative ROW Vegetation Management scenarios
</t>
  </si>
  <si>
    <t>Calculations</t>
  </si>
  <si>
    <t>Status Quo Management (SQ Mgmt)</t>
  </si>
  <si>
    <t>Alternate Management 1 -5 (Alt 1-5 Mgmt)</t>
  </si>
  <si>
    <t>Definitions</t>
  </si>
  <si>
    <t>Discount Rate</t>
  </si>
  <si>
    <t>Inflation Rate</t>
  </si>
  <si>
    <t>The rate of increase in prices over a given period of time.</t>
  </si>
  <si>
    <t xml:space="preserve">Net Present Value </t>
  </si>
  <si>
    <t>ROW Vegetation Management Approaches: Comparing Maintenance Budget Alternatives</t>
  </si>
  <si>
    <t>Discount Rate:</t>
  </si>
  <si>
    <t>Study Period:</t>
  </si>
  <si>
    <t>Inflation:</t>
  </si>
  <si>
    <t>Payback Year</t>
  </si>
  <si>
    <t>B/C Ratio</t>
  </si>
  <si>
    <t>ROI</t>
  </si>
  <si>
    <t xml:space="preserve"> Status Quo:</t>
  </si>
  <si>
    <t>No programmatic IVM/herbicide use, corridor reclamation needed</t>
  </si>
  <si>
    <t>n/a</t>
  </si>
  <si>
    <t>Alternatives</t>
  </si>
  <si>
    <t>Reclaim, IVM, capitalize half of reclamation, followed by IVM using herbicide as much as possible</t>
  </si>
  <si>
    <t>Capitalize all of Reclamation, followed by full IVM using herbicide as much as able</t>
  </si>
  <si>
    <t>Reclaim, no IVM or change in policy, reclaimation capitalized, now mow more floor, maybe trim fewer trees, lose savings back into higher mowing vs. IV in which using spray and lose most of the cost thru lower mowing trimming and removals costs</t>
  </si>
  <si>
    <t>Budget is cut in year 2 and 3 ; maintenance is deferred to future years</t>
  </si>
  <si>
    <t>30 year budget</t>
  </si>
  <si>
    <t>All are calculated using time value of money (inflation adjusted)</t>
  </si>
  <si>
    <t>NPV of Cash Outlay</t>
  </si>
  <si>
    <t>NPV of cash flow changes compared to SQ</t>
  </si>
  <si>
    <t>PAYBACK</t>
  </si>
  <si>
    <t>B/C RATIO</t>
  </si>
  <si>
    <t>Status Quo</t>
  </si>
  <si>
    <t>Alt 1</t>
  </si>
  <si>
    <t>Alt 2</t>
  </si>
  <si>
    <t>Alt 3</t>
  </si>
  <si>
    <t>Alt 4</t>
  </si>
  <si>
    <t>Alt 5</t>
  </si>
  <si>
    <t>*Compare the NPV of Cost Savings between Status Quo and Alternatives*</t>
  </si>
  <si>
    <t>NPV Alt 1:</t>
  </si>
  <si>
    <t>NPV Alt 2:</t>
  </si>
  <si>
    <t>NPV Alt 3:</t>
  </si>
  <si>
    <t>NPV Alt 4:</t>
  </si>
  <si>
    <t>NPV Alt 5:</t>
  </si>
  <si>
    <t>Year</t>
  </si>
  <si>
    <t>Net Cashflow</t>
  </si>
  <si>
    <t>Cost Savings</t>
  </si>
  <si>
    <t>Green cells require</t>
  </si>
  <si>
    <t>manual entry by tool user</t>
  </si>
  <si>
    <t>NPV Formula:</t>
  </si>
  <si>
    <t>% Capitalize:</t>
  </si>
  <si>
    <t>OUTFLOWS</t>
  </si>
  <si>
    <t>INFLOWS</t>
  </si>
  <si>
    <t>NETS</t>
  </si>
  <si>
    <t>Investment(s) in Thousands</t>
  </si>
  <si>
    <t>O&amp;M Budget for ROW Vegetation Managment in Thousands</t>
  </si>
  <si>
    <t xml:space="preserve">Offsets/Avoided Costs/inflows </t>
  </si>
  <si>
    <t>Reclamation</t>
  </si>
  <si>
    <t>Professional Services</t>
  </si>
  <si>
    <t>ROW Services</t>
  </si>
  <si>
    <t>Floor (Mow &amp; Spray)</t>
  </si>
  <si>
    <t>Trimming</t>
  </si>
  <si>
    <t>Removals</t>
  </si>
  <si>
    <t>Work Planning &amp; Inspections</t>
  </si>
  <si>
    <t>Permits</t>
  </si>
  <si>
    <t>Other</t>
  </si>
  <si>
    <t>Planned O&amp;M (Subtotal)</t>
  </si>
  <si>
    <t>Outages</t>
  </si>
  <si>
    <t>Hotspotting / Reactive Work</t>
  </si>
  <si>
    <t>Outflows (Subtotal)</t>
  </si>
  <si>
    <t>Outflows (Inflation Adjusted)</t>
  </si>
  <si>
    <t>Capitalized Costs</t>
  </si>
  <si>
    <t>Use Licenses</t>
  </si>
  <si>
    <t>Inflows (Subtotal Inflation Adjusted)</t>
  </si>
  <si>
    <t>Net Budget Flow (thousands)</t>
  </si>
  <si>
    <t>NPV SQ (Each Year)</t>
  </si>
  <si>
    <t>Initial Value of Investment:</t>
  </si>
  <si>
    <t>NPV Investment:</t>
  </si>
  <si>
    <t>Final Value of Investment (net return):</t>
  </si>
  <si>
    <t>(Cumulative Savings Over SQ Final Year)</t>
  </si>
  <si>
    <t>Net Return:</t>
  </si>
  <si>
    <t>(Final Value of Investment - Initial Value of Investment - Cost of Investment)</t>
  </si>
  <si>
    <t>Cost of Investment:</t>
  </si>
  <si>
    <t>(Total Reclamation+Professional Services)</t>
  </si>
  <si>
    <t>Capitalized Investment</t>
  </si>
  <si>
    <t>(Capitalization % * Investment)</t>
  </si>
  <si>
    <t>Total Benefits:</t>
  </si>
  <si>
    <t>(Net Return + or - Caitalization impacts at enterprise level)</t>
  </si>
  <si>
    <t xml:space="preserve">Offsets/Avoided Costs/Inflows </t>
  </si>
  <si>
    <t>Planned O&amp;M (subtotal)</t>
  </si>
  <si>
    <t>Outflows (subtotal)</t>
  </si>
  <si>
    <t>Outflows (inflation adjusted)</t>
  </si>
  <si>
    <t>Inflows (subtotal inflation adjusted)</t>
  </si>
  <si>
    <t>NPV Alt 1 (Each Year)</t>
  </si>
  <si>
    <t>Investments (cumulative)</t>
  </si>
  <si>
    <t>Avoided Costs/Inflow (cumulative)</t>
  </si>
  <si>
    <t>Reduced Outflows (cumulative)</t>
  </si>
  <si>
    <t>Cashflow (net)</t>
  </si>
  <si>
    <t>Savings Over SQ</t>
  </si>
  <si>
    <t>Savings Over SQ (cumulative)</t>
  </si>
  <si>
    <t>ROW Vegetation Management NPV Calculator: Workbook Summary</t>
  </si>
  <si>
    <t xml:space="preserve">The NPV is automatically calculated through the indicated discount rate and inflation rate based on the alternative projects.
</t>
  </si>
  <si>
    <t>Alternative projects costed out with a general 10-year forecard of potential costs and variability over time</t>
  </si>
  <si>
    <t>Calculation of vegetation management costs based on decision factors and cost variables. Intended for testing and evaluation by team. As setup, it can provide a general 10-year forecast of potential costs and variability over time. No change in rates or work volume were included.</t>
  </si>
  <si>
    <t>The expected return on investments - defined by each business.  Can substitute the rate charged or paid by banks for commercial funds if needed.</t>
  </si>
  <si>
    <t>Study Period</t>
  </si>
  <si>
    <t>Net present value (NPV) is the difference between the present value of cash inflows and the present value of cash outflows over a period of time. For Net Present Cost use (-) in final calculations.</t>
  </si>
  <si>
    <t>The period of time the budget is forecasted out to, or period of interest for a project</t>
  </si>
  <si>
    <t>White Cells are locked and autopopulate based on manual entries into green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</si>
</sst>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0.0%"/>
    <numFmt numFmtId="165" formatCode="#."/>
    <numFmt numFmtId="166" formatCode="0.0"/>
  </numFmts>
  <fonts count="34" x14ac:knownFonts="1">
    <font>
      <sz val="10"/>
      <color rgb="FF000000"/>
      <name val="Arial"/>
    </font>
    <font>
      <b/>
      <sz val="14"/>
      <color theme="1"/>
      <name val="Arial Narrow"/>
      <family val="2"/>
    </font>
    <font>
      <sz val="11"/>
      <color theme="1"/>
      <name val="Arial"/>
      <family val="2"/>
    </font>
    <font>
      <sz val="11"/>
      <color theme="1"/>
      <name val="Arial Narrow"/>
      <family val="2"/>
    </font>
    <font>
      <b/>
      <sz val="11"/>
      <color theme="0"/>
      <name val="Arial Narrow"/>
      <family val="2"/>
    </font>
    <font>
      <sz val="10"/>
      <name val="Arial"/>
      <family val="2"/>
    </font>
    <font>
      <sz val="11"/>
      <color rgb="FF000000"/>
      <name val="Calibri"/>
      <family val="2"/>
    </font>
    <font>
      <b/>
      <sz val="10"/>
      <color theme="1"/>
      <name val="Arial"/>
      <family val="2"/>
    </font>
    <font>
      <sz val="10"/>
      <color theme="1"/>
      <name val="Arial"/>
      <family val="2"/>
    </font>
    <font>
      <b/>
      <sz val="12"/>
      <color theme="1"/>
      <name val="Arial"/>
      <family val="2"/>
    </font>
    <font>
      <sz val="10"/>
      <color rgb="FFFF0000"/>
      <name val="Arial"/>
      <family val="2"/>
    </font>
    <font>
      <b/>
      <i/>
      <sz val="10"/>
      <color rgb="FFFF0000"/>
      <name val="Arial"/>
      <family val="2"/>
    </font>
    <font>
      <b/>
      <sz val="10"/>
      <color rgb="FFFF0000"/>
      <name val="Arial"/>
      <family val="2"/>
    </font>
    <font>
      <b/>
      <i/>
      <sz val="10"/>
      <color rgb="FFFF0000"/>
      <name val="Inconsolata"/>
    </font>
    <font>
      <b/>
      <u/>
      <sz val="10"/>
      <color theme="1"/>
      <name val="Arial"/>
      <family val="2"/>
    </font>
    <font>
      <b/>
      <u/>
      <sz val="10"/>
      <color theme="1"/>
      <name val="Arial"/>
      <family val="2"/>
    </font>
    <font>
      <u/>
      <sz val="10"/>
      <color theme="1"/>
      <name val="Arial"/>
      <family val="2"/>
    </font>
    <font>
      <sz val="10"/>
      <color theme="1"/>
      <name val="Arial"/>
      <family val="2"/>
    </font>
    <font>
      <b/>
      <sz val="10"/>
      <color theme="1"/>
      <name val="Arial"/>
      <family val="2"/>
    </font>
    <font>
      <b/>
      <u/>
      <sz val="10"/>
      <color theme="1"/>
      <name val="Arial"/>
      <family val="2"/>
    </font>
    <font>
      <b/>
      <u/>
      <sz val="10"/>
      <color theme="1"/>
      <name val="Arial"/>
      <family val="2"/>
    </font>
    <font>
      <b/>
      <i/>
      <sz val="10"/>
      <color rgb="FF0000FF"/>
      <name val="Arial"/>
      <family val="2"/>
    </font>
    <font>
      <b/>
      <u/>
      <sz val="11"/>
      <color theme="1"/>
      <name val="Arial"/>
      <family val="2"/>
    </font>
    <font>
      <b/>
      <u/>
      <sz val="10"/>
      <color theme="1"/>
      <name val="Arial"/>
      <family val="2"/>
    </font>
    <font>
      <b/>
      <u/>
      <sz val="10"/>
      <color theme="1"/>
      <name val="Arial"/>
      <family val="2"/>
    </font>
    <font>
      <sz val="9"/>
      <color theme="1"/>
      <name val="Arial"/>
      <family val="2"/>
    </font>
    <font>
      <b/>
      <i/>
      <sz val="10"/>
      <color theme="1"/>
      <name val="Arial"/>
      <family val="2"/>
    </font>
    <font>
      <b/>
      <u/>
      <sz val="10"/>
      <color theme="1"/>
      <name val="Arial"/>
      <family val="2"/>
    </font>
    <font>
      <b/>
      <u/>
      <sz val="11"/>
      <color theme="1"/>
      <name val="Arial"/>
      <family val="2"/>
    </font>
    <font>
      <b/>
      <i/>
      <sz val="10"/>
      <color theme="1"/>
      <name val="Arial"/>
      <family val="2"/>
    </font>
    <font>
      <b/>
      <sz val="9"/>
      <color theme="1"/>
      <name val="Arial"/>
      <family val="2"/>
    </font>
    <font>
      <b/>
      <u/>
      <sz val="10"/>
      <color theme="1"/>
      <name val="Arial"/>
      <family val="2"/>
    </font>
    <font>
      <b/>
      <u/>
      <sz val="10"/>
      <color theme="1"/>
      <name val="Arial"/>
      <family val="2"/>
    </font>
    <font>
      <b/>
      <u/>
      <sz val="10"/>
      <color theme="1"/>
      <name val="Arial"/>
      <family val="2"/>
    </font>
  </fonts>
  <fills count="8">
    <fill>
      <patternFill patternType="none"/>
    </fill>
    <fill>
      <patternFill patternType="gray125"/>
    </fill>
    <fill>
      <patternFill patternType="solid">
        <fgColor theme="0"/>
        <bgColor theme="0"/>
      </patternFill>
    </fill>
    <fill>
      <patternFill patternType="solid">
        <fgColor rgb="FF242852"/>
        <bgColor rgb="FF242852"/>
      </patternFill>
    </fill>
    <fill>
      <patternFill patternType="solid">
        <fgColor rgb="FFD9EAD3"/>
        <bgColor rgb="FFD9EAD3"/>
      </patternFill>
    </fill>
    <fill>
      <patternFill patternType="solid">
        <fgColor rgb="FFFFFFFF"/>
        <bgColor rgb="FFFFFFFF"/>
      </patternFill>
    </fill>
    <fill>
      <patternFill patternType="solid">
        <fgColor rgb="FFBDBDBD"/>
        <bgColor rgb="FFBDBDBD"/>
      </patternFill>
    </fill>
    <fill>
      <patternFill patternType="solid">
        <fgColor rgb="FFF3F3F3"/>
        <bgColor rgb="FFF3F3F3"/>
      </patternFill>
    </fill>
  </fills>
  <borders count="11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double">
        <color rgb="FF000000"/>
      </left>
      <right/>
      <top style="double">
        <color rgb="FF000000"/>
      </top>
      <bottom/>
      <diagonal/>
    </border>
    <border>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medium">
        <color rgb="FF000000"/>
      </bottom>
      <diagonal/>
    </border>
    <border>
      <left style="dotted">
        <color rgb="FF000000"/>
      </left>
      <right style="thin">
        <color rgb="FF000000"/>
      </right>
      <top/>
      <bottom style="medium">
        <color rgb="FF000000"/>
      </bottom>
      <diagonal/>
    </border>
    <border>
      <left/>
      <right/>
      <top/>
      <bottom style="medium">
        <color rgb="FF000000"/>
      </bottom>
      <diagonal/>
    </border>
    <border>
      <left style="dotted">
        <color rgb="FF000000"/>
      </left>
      <right/>
      <top/>
      <bottom style="medium">
        <color rgb="FF000000"/>
      </bottom>
      <diagonal/>
    </border>
    <border>
      <left style="thin">
        <color rgb="FF000000"/>
      </left>
      <right style="dotted">
        <color rgb="FF000000"/>
      </right>
      <top/>
      <bottom/>
      <diagonal/>
    </border>
    <border>
      <left style="dotted">
        <color rgb="FF000000"/>
      </left>
      <right style="thin">
        <color rgb="FF000000"/>
      </right>
      <top/>
      <bottom/>
      <diagonal/>
    </border>
    <border>
      <left/>
      <right style="dotted">
        <color rgb="FF000000"/>
      </right>
      <top/>
      <bottom/>
      <diagonal/>
    </border>
    <border>
      <left style="dotted">
        <color rgb="FF000000"/>
      </left>
      <right/>
      <top/>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right style="dotted">
        <color rgb="FF000000"/>
      </right>
      <top/>
      <bottom style="thin">
        <color rgb="FF000000"/>
      </bottom>
      <diagonal/>
    </border>
    <border>
      <left style="dotted">
        <color rgb="FF000000"/>
      </left>
      <right/>
      <top/>
      <bottom style="thin">
        <color rgb="FF000000"/>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right style="double">
        <color rgb="FF000000"/>
      </right>
      <top/>
      <bottom style="double">
        <color rgb="FF000000"/>
      </bottom>
      <diagonal/>
    </border>
    <border>
      <left style="thin">
        <color rgb="FF000000"/>
      </left>
      <right style="dotted">
        <color rgb="FF000000"/>
      </right>
      <top style="thin">
        <color rgb="FF000000"/>
      </top>
      <bottom style="medium">
        <color rgb="FF000000"/>
      </bottom>
      <diagonal/>
    </border>
    <border>
      <left style="dotted">
        <color rgb="FF000000"/>
      </left>
      <right/>
      <top style="thin">
        <color rgb="FF000000"/>
      </top>
      <bottom style="medium">
        <color rgb="FF000000"/>
      </bottom>
      <diagonal/>
    </border>
    <border>
      <left style="medium">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medium">
        <color rgb="FF000000"/>
      </left>
      <right/>
      <top/>
      <bottom/>
      <diagonal/>
    </border>
    <border>
      <left style="dotted">
        <color rgb="FF000000"/>
      </left>
      <right style="medium">
        <color rgb="FF000000"/>
      </right>
      <top/>
      <bottom/>
      <diagonal/>
    </border>
    <border>
      <left style="thin">
        <color rgb="FF000000"/>
      </left>
      <right style="dotted">
        <color rgb="FF000000"/>
      </right>
      <top/>
      <bottom style="medium">
        <color rgb="FF000000"/>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style="medium">
        <color rgb="FF000000"/>
      </right>
      <top/>
      <bottom style="medium">
        <color rgb="FF000000"/>
      </bottom>
      <diagonal/>
    </border>
    <border>
      <left/>
      <right style="dotted">
        <color rgb="FF000000"/>
      </right>
      <top/>
      <bottom style="medium">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dotted">
        <color rgb="FF000000"/>
      </right>
      <top style="medium">
        <color rgb="FF000000"/>
      </top>
      <bottom style="thin">
        <color rgb="FF000000"/>
      </bottom>
      <diagonal/>
    </border>
    <border>
      <left style="dotted">
        <color rgb="FF000000"/>
      </left>
      <right style="medium">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tted">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dotted">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double">
        <color theme="0" tint="-0.34998626667073579"/>
      </right>
      <top/>
      <bottom style="double">
        <color theme="0" tint="-0.34998626667073579"/>
      </bottom>
      <diagonal/>
    </border>
    <border>
      <left style="double">
        <color theme="0" tint="-0.34998626667073579"/>
      </left>
      <right/>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diagonal/>
    </border>
    <border>
      <left style="double">
        <color theme="0" tint="-0.34998626667073579"/>
      </left>
      <right/>
      <top style="double">
        <color theme="0" tint="-0.34998626667073579"/>
      </top>
      <bottom/>
      <diagonal/>
    </border>
    <border>
      <left style="medium">
        <color rgb="FF000000"/>
      </left>
      <right style="double">
        <color theme="0" tint="-0.34998626667073579"/>
      </right>
      <top style="double">
        <color theme="0" tint="-0.34998626667073579"/>
      </top>
      <bottom style="double">
        <color theme="0" tint="-0.34998626667073579"/>
      </bottom>
      <diagonal/>
    </border>
    <border>
      <left style="double">
        <color theme="0" tint="-0.34998626667073579"/>
      </left>
      <right style="medium">
        <color rgb="FF000000"/>
      </right>
      <top style="double">
        <color theme="0" tint="-0.34998626667073579"/>
      </top>
      <bottom style="double">
        <color theme="0" tint="-0.34998626667073579"/>
      </bottom>
      <diagonal/>
    </border>
    <border>
      <left style="medium">
        <color rgb="FF000000"/>
      </left>
      <right style="double">
        <color theme="0" tint="-0.34998626667073579"/>
      </right>
      <top style="double">
        <color theme="0" tint="-0.34998626667073579"/>
      </top>
      <bottom style="medium">
        <color rgb="FF000000"/>
      </bottom>
      <diagonal/>
    </border>
    <border>
      <left style="double">
        <color theme="0" tint="-0.34998626667073579"/>
      </left>
      <right style="medium">
        <color rgb="FF000000"/>
      </right>
      <top style="double">
        <color theme="0" tint="-0.34998626667073579"/>
      </top>
      <bottom style="medium">
        <color rgb="FF000000"/>
      </bottom>
      <diagonal/>
    </border>
    <border>
      <left style="double">
        <color theme="0" tint="-0.34998626667073579"/>
      </left>
      <right style="double">
        <color theme="0" tint="-0.34998626667073579"/>
      </right>
      <top/>
      <bottom style="double">
        <color theme="0" tint="-0.34998626667073579"/>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style="double">
        <color theme="0" tint="-0.34998626667073579"/>
      </left>
      <right style="double">
        <color theme="0" tint="-0.34998626667073579"/>
      </right>
      <top style="double">
        <color theme="0" tint="-0.34998626667073579"/>
      </top>
      <bottom/>
      <diagonal/>
    </border>
    <border>
      <left style="double">
        <color theme="0" tint="-0.34998626667073579"/>
      </left>
      <right style="double">
        <color theme="0" tint="-0.34998626667073579"/>
      </right>
      <top style="double">
        <color theme="0" tint="-0.34998626667073579"/>
      </top>
      <bottom style="medium">
        <color rgb="FF000000"/>
      </bottom>
      <diagonal/>
    </border>
    <border>
      <left/>
      <right/>
      <top/>
      <bottom style="double">
        <color theme="0" tint="-0.34998626667073579"/>
      </bottom>
      <diagonal/>
    </border>
    <border>
      <left/>
      <right/>
      <top style="double">
        <color theme="0" tint="-0.34998626667073579"/>
      </top>
      <bottom style="double">
        <color theme="0" tint="-0.34998626667073579"/>
      </bottom>
      <diagonal/>
    </border>
    <border>
      <left/>
      <right/>
      <top style="double">
        <color theme="0" tint="-0.34998626667073579"/>
      </top>
      <bottom/>
      <diagonal/>
    </border>
    <border>
      <left/>
      <right style="thin">
        <color rgb="FF000000"/>
      </right>
      <top/>
      <bottom style="medium">
        <color rgb="FF000000"/>
      </bottom>
      <diagonal/>
    </border>
    <border>
      <left style="medium">
        <color rgb="FF000000"/>
      </left>
      <right style="double">
        <color theme="0" tint="-0.34998626667073579"/>
      </right>
      <top style="thin">
        <color rgb="FF000000"/>
      </top>
      <bottom style="double">
        <color theme="0" tint="-0.34998626667073579"/>
      </bottom>
      <diagonal/>
    </border>
    <border>
      <left style="double">
        <color theme="0" tint="-0.34998626667073579"/>
      </left>
      <right style="medium">
        <color rgb="FF000000"/>
      </right>
      <top style="thin">
        <color rgb="FF000000"/>
      </top>
      <bottom style="double">
        <color theme="0" tint="-0.34998626667073579"/>
      </bottom>
      <diagonal/>
    </border>
    <border>
      <left style="double">
        <color theme="0" tint="-0.34998626667073579"/>
      </left>
      <right style="double">
        <color theme="0" tint="-0.34998626667073579"/>
      </right>
      <top style="thin">
        <color rgb="FF000000"/>
      </top>
      <bottom style="double">
        <color theme="0" tint="-0.34998626667073579"/>
      </bottom>
      <diagonal/>
    </border>
    <border>
      <left style="double">
        <color theme="0" tint="-0.34998626667073579"/>
      </left>
      <right style="thin">
        <color rgb="FF000000"/>
      </right>
      <top style="thin">
        <color rgb="FF000000"/>
      </top>
      <bottom style="double">
        <color theme="0" tint="-0.34998626667073579"/>
      </bottom>
      <diagonal/>
    </border>
    <border>
      <left style="double">
        <color theme="0" tint="-0.34998626667073579"/>
      </left>
      <right style="thin">
        <color rgb="FF000000"/>
      </right>
      <top style="double">
        <color theme="0" tint="-0.34998626667073579"/>
      </top>
      <bottom style="double">
        <color theme="0" tint="-0.34998626667073579"/>
      </bottom>
      <diagonal/>
    </border>
    <border>
      <left style="double">
        <color theme="0" tint="-0.34998626667073579"/>
      </left>
      <right style="thin">
        <color rgb="FF000000"/>
      </right>
      <top style="double">
        <color theme="0" tint="-0.34998626667073579"/>
      </top>
      <bottom style="medium">
        <color rgb="FF000000"/>
      </bottom>
      <diagonal/>
    </border>
    <border>
      <left style="thin">
        <color rgb="FF000000"/>
      </left>
      <right style="thin">
        <color rgb="FF000000"/>
      </right>
      <top style="thin">
        <color indexed="64"/>
      </top>
      <bottom style="thin">
        <color rgb="FF000000"/>
      </bottom>
      <diagonal/>
    </border>
  </borders>
  <cellStyleXfs count="1">
    <xf numFmtId="0" fontId="0" fillId="0" borderId="0"/>
  </cellStyleXfs>
  <cellXfs count="309">
    <xf numFmtId="0" fontId="0" fillId="0" borderId="0" xfId="0" applyFont="1" applyAlignment="1"/>
    <xf numFmtId="0" fontId="1" fillId="2" borderId="1" xfId="0" applyFont="1" applyFill="1" applyBorder="1"/>
    <xf numFmtId="0" fontId="2" fillId="2" borderId="1" xfId="0" applyFont="1" applyFill="1" applyBorder="1"/>
    <xf numFmtId="0" fontId="0" fillId="2" borderId="1" xfId="0" applyFont="1" applyFill="1" applyBorder="1"/>
    <xf numFmtId="0" fontId="3" fillId="2" borderId="1" xfId="0" applyFont="1" applyFill="1" applyBorder="1"/>
    <xf numFmtId="0" fontId="4" fillId="3" borderId="2"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1" xfId="0" applyFont="1" applyFill="1" applyBorder="1" applyAlignment="1">
      <alignment horizontal="left" vertical="top" wrapText="1"/>
    </xf>
    <xf numFmtId="0" fontId="6" fillId="0" borderId="5" xfId="0" applyFont="1" applyBorder="1" applyAlignment="1">
      <alignment wrapText="1"/>
    </xf>
    <xf numFmtId="0" fontId="6" fillId="0" borderId="6" xfId="0" applyFont="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0" fontId="7" fillId="0" borderId="10" xfId="0" applyFont="1" applyBorder="1" applyAlignment="1">
      <alignment horizontal="right" vertical="center"/>
    </xf>
    <xf numFmtId="0" fontId="12" fillId="0" borderId="12" xfId="0" applyFont="1" applyBorder="1" applyAlignment="1">
      <alignment horizontal="left" vertical="center"/>
    </xf>
    <xf numFmtId="0" fontId="7" fillId="0" borderId="12" xfId="0" applyFont="1" applyBorder="1" applyAlignment="1">
      <alignment horizontal="right" vertical="center"/>
    </xf>
    <xf numFmtId="10" fontId="8" fillId="0" borderId="9" xfId="0" applyNumberFormat="1" applyFont="1" applyBorder="1" applyAlignment="1">
      <alignment horizontal="left" vertical="center"/>
    </xf>
    <xf numFmtId="164" fontId="8" fillId="0" borderId="1" xfId="0" applyNumberFormat="1" applyFont="1" applyBorder="1" applyAlignment="1">
      <alignment horizontal="left" vertical="center"/>
    </xf>
    <xf numFmtId="0" fontId="13" fillId="5" borderId="0" xfId="0" applyFont="1" applyFill="1" applyAlignment="1">
      <alignment horizontal="left" vertical="center"/>
    </xf>
    <xf numFmtId="0" fontId="7" fillId="0" borderId="14" xfId="0" applyFont="1" applyBorder="1" applyAlignment="1">
      <alignment horizontal="right" vertical="center"/>
    </xf>
    <xf numFmtId="0" fontId="12" fillId="0" borderId="16" xfId="0" applyFont="1" applyBorder="1" applyAlignment="1">
      <alignment horizontal="left" vertical="center"/>
    </xf>
    <xf numFmtId="0" fontId="7" fillId="0" borderId="16" xfId="0" applyFont="1" applyBorder="1" applyAlignment="1">
      <alignment horizontal="left" vertical="center"/>
    </xf>
    <xf numFmtId="0" fontId="8" fillId="0" borderId="17"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165" fontId="8" fillId="0" borderId="0" xfId="0" applyNumberFormat="1" applyFont="1" applyAlignment="1">
      <alignment horizontal="left" vertical="center"/>
    </xf>
    <xf numFmtId="165" fontId="7" fillId="0" borderId="3" xfId="0" applyNumberFormat="1" applyFont="1" applyBorder="1" applyAlignment="1">
      <alignment horizontal="right" vertical="center"/>
    </xf>
    <xf numFmtId="44" fontId="7" fillId="0" borderId="19" xfId="0" applyNumberFormat="1" applyFont="1" applyBorder="1" applyAlignment="1">
      <alignment horizontal="left" vertical="center"/>
    </xf>
    <xf numFmtId="44" fontId="7" fillId="0" borderId="19" xfId="0" applyNumberFormat="1" applyFont="1" applyBorder="1" applyAlignment="1">
      <alignment horizontal="right" vertical="center"/>
    </xf>
    <xf numFmtId="44" fontId="7" fillId="0" borderId="19" xfId="0" applyNumberFormat="1" applyFont="1" applyBorder="1" applyAlignment="1">
      <alignment horizontal="right" vertical="center"/>
    </xf>
    <xf numFmtId="0" fontId="7" fillId="0" borderId="19" xfId="0" applyFont="1" applyBorder="1" applyAlignment="1">
      <alignment horizontal="center" vertical="center"/>
    </xf>
    <xf numFmtId="3" fontId="7" fillId="0" borderId="19" xfId="0" applyNumberFormat="1" applyFont="1" applyBorder="1" applyAlignment="1">
      <alignment horizontal="center" vertical="center"/>
    </xf>
    <xf numFmtId="4" fontId="7" fillId="0" borderId="4" xfId="0" applyNumberFormat="1" applyFont="1" applyBorder="1" applyAlignment="1">
      <alignment horizontal="center" vertical="center"/>
    </xf>
    <xf numFmtId="3" fontId="7" fillId="0" borderId="0" xfId="0" applyNumberFormat="1" applyFont="1" applyAlignment="1">
      <alignment horizontal="left" vertical="center"/>
    </xf>
    <xf numFmtId="9" fontId="8" fillId="0" borderId="0" xfId="0" applyNumberFormat="1" applyFont="1" applyAlignment="1">
      <alignment horizontal="left" vertical="center"/>
    </xf>
    <xf numFmtId="165" fontId="7" fillId="0" borderId="0" xfId="0" applyNumberFormat="1" applyFont="1" applyAlignment="1">
      <alignment horizontal="left" vertical="center"/>
    </xf>
    <xf numFmtId="44" fontId="7" fillId="0" borderId="0" xfId="0" applyNumberFormat="1" applyFont="1" applyAlignment="1">
      <alignment horizontal="left" vertical="center"/>
    </xf>
    <xf numFmtId="44" fontId="7" fillId="0" borderId="0" xfId="0" applyNumberFormat="1" applyFont="1" applyAlignment="1">
      <alignment horizontal="right" vertical="center"/>
    </xf>
    <xf numFmtId="9" fontId="7" fillId="0" borderId="0" xfId="0" applyNumberFormat="1" applyFont="1" applyAlignment="1">
      <alignment horizontal="center" vertical="center"/>
    </xf>
    <xf numFmtId="3" fontId="7" fillId="0" borderId="0" xfId="0" applyNumberFormat="1" applyFont="1" applyAlignment="1">
      <alignment horizontal="center" vertical="center"/>
    </xf>
    <xf numFmtId="4" fontId="7" fillId="0" borderId="0" xfId="0" applyNumberFormat="1" applyFont="1" applyAlignment="1">
      <alignment horizontal="center" vertical="center"/>
    </xf>
    <xf numFmtId="165" fontId="7" fillId="0" borderId="0" xfId="0" applyNumberFormat="1" applyFont="1" applyAlignment="1">
      <alignment horizontal="right" vertical="top"/>
    </xf>
    <xf numFmtId="44" fontId="7" fillId="0" borderId="22" xfId="0" applyNumberFormat="1" applyFont="1" applyBorder="1" applyAlignment="1">
      <alignment horizontal="left" vertical="center"/>
    </xf>
    <xf numFmtId="44" fontId="7" fillId="0" borderId="22" xfId="0" applyNumberFormat="1" applyFont="1" applyBorder="1" applyAlignment="1">
      <alignment horizontal="right" vertical="center"/>
    </xf>
    <xf numFmtId="0" fontId="7" fillId="0" borderId="22" xfId="0" applyFont="1" applyBorder="1" applyAlignment="1">
      <alignment horizontal="center" vertical="center"/>
    </xf>
    <xf numFmtId="2" fontId="7" fillId="0" borderId="22" xfId="0" applyNumberFormat="1" applyFont="1" applyBorder="1" applyAlignment="1">
      <alignment horizontal="center" vertical="center"/>
    </xf>
    <xf numFmtId="2" fontId="7" fillId="0" borderId="24" xfId="0" applyNumberFormat="1" applyFont="1" applyBorder="1" applyAlignment="1">
      <alignment horizontal="center" vertical="center"/>
    </xf>
    <xf numFmtId="166" fontId="8" fillId="0" borderId="0" xfId="0" applyNumberFormat="1" applyFont="1" applyAlignment="1">
      <alignment horizontal="left" vertical="center"/>
    </xf>
    <xf numFmtId="44" fontId="7" fillId="0" borderId="26" xfId="0" applyNumberFormat="1" applyFont="1" applyBorder="1" applyAlignment="1">
      <alignment horizontal="left" vertical="center"/>
    </xf>
    <xf numFmtId="44" fontId="7" fillId="0" borderId="26" xfId="0" applyNumberFormat="1" applyFont="1" applyBorder="1" applyAlignment="1">
      <alignment horizontal="right" vertical="center"/>
    </xf>
    <xf numFmtId="0" fontId="7" fillId="0" borderId="26" xfId="0" applyFont="1" applyBorder="1" applyAlignment="1">
      <alignment horizontal="center" vertical="center"/>
    </xf>
    <xf numFmtId="2" fontId="7" fillId="0" borderId="26" xfId="0" applyNumberFormat="1" applyFont="1" applyBorder="1" applyAlignment="1">
      <alignment horizontal="center" vertical="center"/>
    </xf>
    <xf numFmtId="2" fontId="7" fillId="0" borderId="28" xfId="0" applyNumberFormat="1" applyFont="1" applyBorder="1" applyAlignment="1">
      <alignment horizontal="center" vertical="center"/>
    </xf>
    <xf numFmtId="44" fontId="7" fillId="0" borderId="30" xfId="0" applyNumberFormat="1" applyFont="1" applyBorder="1" applyAlignment="1">
      <alignment horizontal="left" vertical="center"/>
    </xf>
    <xf numFmtId="44" fontId="7" fillId="0" borderId="30" xfId="0" applyNumberFormat="1" applyFont="1" applyBorder="1" applyAlignment="1">
      <alignment horizontal="right" vertical="center"/>
    </xf>
    <xf numFmtId="0" fontId="7" fillId="0" borderId="30" xfId="0" applyFont="1" applyBorder="1" applyAlignment="1">
      <alignment horizontal="center" vertical="center"/>
    </xf>
    <xf numFmtId="2" fontId="7" fillId="0" borderId="30" xfId="0" applyNumberFormat="1" applyFont="1" applyBorder="1" applyAlignment="1">
      <alignment horizontal="center" vertical="center"/>
    </xf>
    <xf numFmtId="2" fontId="7" fillId="0" borderId="32" xfId="0" applyNumberFormat="1" applyFont="1" applyBorder="1" applyAlignment="1">
      <alignment horizontal="center" vertical="center"/>
    </xf>
    <xf numFmtId="0" fontId="7" fillId="5" borderId="0" xfId="0" applyFont="1" applyFill="1" applyAlignment="1">
      <alignment horizontal="center"/>
    </xf>
    <xf numFmtId="0" fontId="8"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wrapText="1"/>
    </xf>
    <xf numFmtId="0" fontId="7" fillId="6" borderId="33" xfId="0" applyFont="1" applyFill="1" applyBorder="1" applyAlignment="1">
      <alignment horizontal="left" wrapText="1"/>
    </xf>
    <xf numFmtId="0" fontId="18" fillId="6" borderId="33" xfId="0" applyFont="1" applyFill="1" applyBorder="1" applyAlignment="1">
      <alignment horizontal="center"/>
    </xf>
    <xf numFmtId="0" fontId="7" fillId="6" borderId="34" xfId="0" applyFont="1" applyFill="1" applyBorder="1" applyAlignment="1">
      <alignment horizontal="center" wrapText="1"/>
    </xf>
    <xf numFmtId="0" fontId="7" fillId="6" borderId="35" xfId="0" applyFont="1" applyFill="1" applyBorder="1" applyAlignment="1">
      <alignment horizontal="center" wrapText="1"/>
    </xf>
    <xf numFmtId="0" fontId="19" fillId="0" borderId="0" xfId="0" applyFont="1" applyAlignment="1">
      <alignment horizontal="right" vertical="center"/>
    </xf>
    <xf numFmtId="44" fontId="8" fillId="5" borderId="36" xfId="0" applyNumberFormat="1" applyFont="1" applyFill="1" applyBorder="1" applyAlignment="1">
      <alignment horizontal="right" vertical="center"/>
    </xf>
    <xf numFmtId="44" fontId="17" fillId="5" borderId="0" xfId="0" applyNumberFormat="1" applyFont="1" applyFill="1" applyAlignment="1">
      <alignment horizontal="center" vertical="center"/>
    </xf>
    <xf numFmtId="44" fontId="17" fillId="7" borderId="0" xfId="0" applyNumberFormat="1" applyFont="1" applyFill="1" applyAlignment="1">
      <alignment horizontal="center" vertical="center"/>
    </xf>
    <xf numFmtId="0" fontId="17" fillId="5" borderId="0" xfId="0" applyFont="1" applyFill="1" applyAlignment="1">
      <alignment horizontal="center" vertical="center"/>
    </xf>
    <xf numFmtId="2" fontId="8" fillId="5" borderId="0" xfId="0" applyNumberFormat="1" applyFont="1" applyFill="1" applyAlignment="1">
      <alignment horizontal="center" vertical="center" wrapText="1"/>
    </xf>
    <xf numFmtId="2" fontId="8" fillId="5" borderId="5" xfId="0" applyNumberFormat="1" applyFont="1" applyFill="1" applyBorder="1" applyAlignment="1">
      <alignment horizontal="center" vertical="center" wrapText="1"/>
    </xf>
    <xf numFmtId="44" fontId="7" fillId="0" borderId="0" xfId="0" applyNumberFormat="1" applyFont="1" applyAlignment="1">
      <alignment horizontal="left" vertical="center" wrapText="1"/>
    </xf>
    <xf numFmtId="44" fontId="8" fillId="7" borderId="36" xfId="0" applyNumberFormat="1" applyFont="1" applyFill="1" applyBorder="1" applyAlignment="1">
      <alignment horizontal="right" vertical="center"/>
    </xf>
    <xf numFmtId="0" fontId="17" fillId="7" borderId="0" xfId="0" applyFont="1" applyFill="1" applyAlignment="1">
      <alignment horizontal="center" vertical="center"/>
    </xf>
    <xf numFmtId="2" fontId="8" fillId="7" borderId="0" xfId="0" applyNumberFormat="1" applyFont="1" applyFill="1" applyAlignment="1">
      <alignment horizontal="center" vertical="center" wrapText="1"/>
    </xf>
    <xf numFmtId="2" fontId="8" fillId="7" borderId="5" xfId="0" applyNumberFormat="1" applyFont="1" applyFill="1" applyBorder="1" applyAlignment="1">
      <alignment horizontal="center" vertical="center" wrapText="1"/>
    </xf>
    <xf numFmtId="44" fontId="8" fillId="0" borderId="0" xfId="0" applyNumberFormat="1" applyFont="1" applyAlignment="1">
      <alignment horizontal="left" vertical="center" wrapText="1"/>
    </xf>
    <xf numFmtId="2" fontId="17" fillId="5" borderId="5" xfId="0" applyNumberFormat="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right" vertical="center" wrapText="1"/>
    </xf>
    <xf numFmtId="0" fontId="20" fillId="0" borderId="0" xfId="0" applyFont="1" applyAlignment="1">
      <alignment horizontal="right" vertical="center" wrapText="1"/>
    </xf>
    <xf numFmtId="44" fontId="8" fillId="7" borderId="36" xfId="0" applyNumberFormat="1" applyFont="1" applyFill="1" applyBorder="1" applyAlignment="1">
      <alignment horizontal="left" vertical="center" wrapText="1"/>
    </xf>
    <xf numFmtId="44" fontId="8" fillId="7" borderId="0" xfId="0" applyNumberFormat="1" applyFont="1" applyFill="1" applyAlignment="1">
      <alignment horizontal="center" vertical="center" wrapText="1"/>
    </xf>
    <xf numFmtId="0" fontId="8" fillId="7" borderId="0" xfId="0" applyFont="1" applyFill="1" applyAlignment="1">
      <alignment horizontal="center" vertical="center" wrapText="1"/>
    </xf>
    <xf numFmtId="2" fontId="17" fillId="7" borderId="5" xfId="0" applyNumberFormat="1" applyFont="1" applyFill="1" applyBorder="1" applyAlignment="1">
      <alignment horizontal="center" vertical="center"/>
    </xf>
    <xf numFmtId="44" fontId="7" fillId="0" borderId="0" xfId="0" applyNumberFormat="1" applyFont="1" applyAlignment="1">
      <alignment horizontal="right" vertical="center"/>
    </xf>
    <xf numFmtId="44" fontId="8" fillId="5" borderId="36" xfId="0" applyNumberFormat="1" applyFont="1" applyFill="1" applyBorder="1" applyAlignment="1">
      <alignment horizontal="left" vertical="center" wrapText="1"/>
    </xf>
    <xf numFmtId="44" fontId="8" fillId="5" borderId="0" xfId="0" applyNumberFormat="1" applyFont="1" applyFill="1" applyAlignment="1">
      <alignment horizontal="center" vertical="center" wrapText="1"/>
    </xf>
    <xf numFmtId="0" fontId="8" fillId="5" borderId="0" xfId="0" applyFont="1" applyFill="1" applyAlignment="1">
      <alignment horizontal="center" vertical="center" wrapText="1"/>
    </xf>
    <xf numFmtId="44" fontId="8" fillId="7" borderId="37" xfId="0" applyNumberFormat="1" applyFont="1" applyFill="1" applyBorder="1" applyAlignment="1">
      <alignment horizontal="left" vertical="center" wrapText="1"/>
    </xf>
    <xf numFmtId="44" fontId="8" fillId="7" borderId="38" xfId="0" applyNumberFormat="1" applyFont="1" applyFill="1" applyBorder="1" applyAlignment="1">
      <alignment horizontal="center" vertical="center" wrapText="1"/>
    </xf>
    <xf numFmtId="0" fontId="8" fillId="7" borderId="38" xfId="0" applyFont="1" applyFill="1" applyBorder="1" applyAlignment="1">
      <alignment horizontal="center" vertical="center" wrapText="1"/>
    </xf>
    <xf numFmtId="2" fontId="8" fillId="7" borderId="38" xfId="0" applyNumberFormat="1" applyFont="1" applyFill="1" applyBorder="1" applyAlignment="1">
      <alignment horizontal="center" vertical="center" wrapText="1"/>
    </xf>
    <xf numFmtId="2" fontId="8" fillId="7" borderId="39" xfId="0" applyNumberFormat="1" applyFont="1" applyFill="1" applyBorder="1" applyAlignment="1">
      <alignment horizontal="center" vertical="center" wrapText="1"/>
    </xf>
    <xf numFmtId="0" fontId="21" fillId="0" borderId="0" xfId="0" applyFont="1" applyAlignment="1">
      <alignment horizontal="right" vertical="center" wrapText="1"/>
    </xf>
    <xf numFmtId="44" fontId="21" fillId="0" borderId="0" xfId="0" applyNumberFormat="1" applyFont="1" applyAlignment="1">
      <alignment horizontal="left" vertical="center" wrapText="1"/>
    </xf>
    <xf numFmtId="0" fontId="7" fillId="0" borderId="0" xfId="0" applyFont="1" applyAlignment="1">
      <alignment horizontal="center" wrapText="1"/>
    </xf>
    <xf numFmtId="0" fontId="23" fillId="0" borderId="40" xfId="0" applyFont="1" applyBorder="1" applyAlignment="1">
      <alignment horizontal="center" vertical="center" wrapText="1"/>
    </xf>
    <xf numFmtId="0" fontId="8" fillId="0" borderId="0" xfId="0" applyFont="1" applyAlignment="1">
      <alignment horizontal="left" wrapText="1"/>
    </xf>
    <xf numFmtId="0" fontId="7" fillId="0" borderId="0" xfId="0" applyFont="1" applyAlignment="1">
      <alignment horizontal="left" wrapText="1"/>
    </xf>
    <xf numFmtId="0" fontId="7" fillId="0" borderId="43" xfId="0" applyFont="1" applyBorder="1" applyAlignment="1">
      <alignment horizontal="center" wrapText="1"/>
    </xf>
    <xf numFmtId="0" fontId="7" fillId="0" borderId="44" xfId="0" applyFont="1" applyBorder="1" applyAlignment="1">
      <alignment horizontal="center" wrapText="1"/>
    </xf>
    <xf numFmtId="0" fontId="7" fillId="0" borderId="45" xfId="0" applyFont="1" applyBorder="1" applyAlignment="1">
      <alignment horizontal="center" wrapText="1"/>
    </xf>
    <xf numFmtId="0" fontId="7" fillId="0" borderId="46" xfId="0" applyFont="1" applyBorder="1" applyAlignment="1">
      <alignment horizontal="center" wrapText="1"/>
    </xf>
    <xf numFmtId="0" fontId="7" fillId="0" borderId="0" xfId="0" applyFont="1" applyAlignment="1">
      <alignment horizontal="center" vertical="center" wrapText="1"/>
    </xf>
    <xf numFmtId="44" fontId="25" fillId="0" borderId="36" xfId="0" applyNumberFormat="1" applyFont="1" applyBorder="1" applyAlignment="1">
      <alignment horizontal="left" vertical="center" wrapText="1"/>
    </xf>
    <xf numFmtId="44" fontId="25" fillId="0" borderId="47" xfId="0" applyNumberFormat="1" applyFont="1" applyBorder="1" applyAlignment="1">
      <alignment horizontal="left" vertical="center" wrapText="1"/>
    </xf>
    <xf numFmtId="44" fontId="25" fillId="0" borderId="48" xfId="0" applyNumberFormat="1" applyFont="1" applyBorder="1" applyAlignment="1">
      <alignment horizontal="left" vertical="center" wrapText="1"/>
    </xf>
    <xf numFmtId="44" fontId="25" fillId="0" borderId="49" xfId="0" applyNumberFormat="1" applyFont="1" applyBorder="1" applyAlignment="1">
      <alignment horizontal="left" vertical="center" wrapText="1"/>
    </xf>
    <xf numFmtId="44" fontId="25" fillId="0" borderId="50" xfId="0" applyNumberFormat="1" applyFont="1" applyBorder="1" applyAlignment="1">
      <alignment horizontal="left" vertical="center" wrapText="1"/>
    </xf>
    <xf numFmtId="44" fontId="25" fillId="0" borderId="48" xfId="0" applyNumberFormat="1" applyFont="1" applyBorder="1" applyAlignment="1">
      <alignment horizontal="left" vertical="center" wrapText="1"/>
    </xf>
    <xf numFmtId="44" fontId="8" fillId="0" borderId="0" xfId="0" applyNumberFormat="1" applyFont="1" applyAlignment="1">
      <alignment horizontal="left" vertical="center" wrapText="1"/>
    </xf>
    <xf numFmtId="44" fontId="25" fillId="0" borderId="49" xfId="0" applyNumberFormat="1" applyFont="1" applyBorder="1" applyAlignment="1">
      <alignment horizontal="left" vertical="center" wrapText="1"/>
    </xf>
    <xf numFmtId="44" fontId="25" fillId="0" borderId="50" xfId="0" applyNumberFormat="1" applyFont="1" applyBorder="1" applyAlignment="1">
      <alignment horizontal="left" vertical="center" wrapText="1"/>
    </xf>
    <xf numFmtId="44" fontId="25" fillId="0" borderId="47" xfId="0" applyNumberFormat="1" applyFont="1" applyBorder="1" applyAlignment="1">
      <alignment horizontal="left" vertical="center" wrapText="1"/>
    </xf>
    <xf numFmtId="44" fontId="8" fillId="0" borderId="36" xfId="0" applyNumberFormat="1" applyFont="1" applyBorder="1" applyAlignment="1">
      <alignment horizontal="left" vertical="center" wrapText="1"/>
    </xf>
    <xf numFmtId="44" fontId="8" fillId="0" borderId="47" xfId="0" applyNumberFormat="1" applyFont="1" applyBorder="1" applyAlignment="1">
      <alignment horizontal="left" vertical="center" wrapText="1"/>
    </xf>
    <xf numFmtId="44" fontId="8" fillId="0" borderId="48" xfId="0" applyNumberFormat="1" applyFont="1" applyBorder="1" applyAlignment="1">
      <alignment horizontal="left" vertical="center" wrapText="1"/>
    </xf>
    <xf numFmtId="44" fontId="8" fillId="0" borderId="49" xfId="0" applyNumberFormat="1" applyFont="1" applyBorder="1" applyAlignment="1">
      <alignment horizontal="left" vertical="center" wrapText="1"/>
    </xf>
    <xf numFmtId="44" fontId="8" fillId="0" borderId="50" xfId="0" applyNumberFormat="1" applyFont="1" applyBorder="1" applyAlignment="1">
      <alignment horizontal="left" vertical="center" wrapText="1"/>
    </xf>
    <xf numFmtId="44" fontId="8" fillId="0" borderId="37" xfId="0" applyNumberFormat="1" applyFont="1" applyBorder="1" applyAlignment="1">
      <alignment horizontal="left" vertical="center" wrapText="1"/>
    </xf>
    <xf numFmtId="44" fontId="8" fillId="0" borderId="51" xfId="0" applyNumberFormat="1" applyFont="1" applyBorder="1" applyAlignment="1">
      <alignment horizontal="left" vertical="center" wrapText="1"/>
    </xf>
    <xf numFmtId="44" fontId="8" fillId="0" borderId="52" xfId="0" applyNumberFormat="1" applyFont="1" applyBorder="1" applyAlignment="1">
      <alignment horizontal="left" vertical="center" wrapText="1"/>
    </xf>
    <xf numFmtId="44" fontId="8" fillId="0" borderId="53" xfId="0" applyNumberFormat="1" applyFont="1" applyBorder="1" applyAlignment="1">
      <alignment horizontal="left" vertical="center" wrapText="1"/>
    </xf>
    <xf numFmtId="44" fontId="8" fillId="0" borderId="54" xfId="0" applyNumberFormat="1" applyFont="1" applyBorder="1" applyAlignment="1">
      <alignment horizontal="left" vertical="center" wrapText="1"/>
    </xf>
    <xf numFmtId="0" fontId="26" fillId="4" borderId="0" xfId="0" applyFont="1" applyFill="1" applyAlignment="1">
      <alignment horizontal="left"/>
    </xf>
    <xf numFmtId="0" fontId="7" fillId="4" borderId="0" xfId="0" applyFont="1" applyFill="1" applyAlignment="1">
      <alignment horizontal="center"/>
    </xf>
    <xf numFmtId="0" fontId="17" fillId="0" borderId="10" xfId="0" applyFont="1" applyBorder="1"/>
    <xf numFmtId="0" fontId="7" fillId="0" borderId="12" xfId="0" applyFont="1" applyBorder="1" applyAlignment="1">
      <alignment horizontal="right" vertical="center"/>
    </xf>
    <xf numFmtId="164" fontId="18" fillId="0" borderId="55" xfId="0" applyNumberFormat="1" applyFont="1" applyBorder="1" applyAlignment="1">
      <alignment horizontal="left" vertical="center"/>
    </xf>
    <xf numFmtId="0" fontId="7" fillId="0" borderId="10" xfId="0" applyFont="1" applyBorder="1" applyAlignment="1">
      <alignment horizontal="right" vertical="center" wrapText="1"/>
    </xf>
    <xf numFmtId="0" fontId="7" fillId="0" borderId="12" xfId="0" applyFont="1" applyBorder="1" applyAlignment="1">
      <alignment horizontal="right" vertical="center" wrapText="1"/>
    </xf>
    <xf numFmtId="0" fontId="27" fillId="0" borderId="0" xfId="0" applyFont="1" applyAlignment="1">
      <alignment horizontal="center" vertical="center" wrapText="1"/>
    </xf>
    <xf numFmtId="0" fontId="17" fillId="0" borderId="56" xfId="0" applyFont="1" applyBorder="1"/>
    <xf numFmtId="0" fontId="7" fillId="0" borderId="0" xfId="0" applyFont="1" applyAlignment="1">
      <alignment horizontal="right" vertical="center"/>
    </xf>
    <xf numFmtId="164" fontId="18" fillId="0" borderId="57" xfId="0" applyNumberFormat="1" applyFont="1" applyBorder="1" applyAlignment="1">
      <alignment horizontal="left" vertical="center"/>
    </xf>
    <xf numFmtId="0" fontId="7" fillId="0" borderId="56" xfId="0" applyFont="1" applyBorder="1" applyAlignment="1">
      <alignment horizontal="right" vertical="center" wrapText="1"/>
    </xf>
    <xf numFmtId="0" fontId="7" fillId="0" borderId="0" xfId="0" applyFont="1" applyAlignment="1">
      <alignment horizontal="right" vertical="center" wrapText="1"/>
    </xf>
    <xf numFmtId="2" fontId="7"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0" fontId="18" fillId="0" borderId="57" xfId="0" applyFont="1" applyBorder="1" applyAlignment="1">
      <alignment horizontal="left" vertical="center"/>
    </xf>
    <xf numFmtId="0" fontId="7" fillId="0" borderId="14" xfId="0" applyFont="1" applyBorder="1" applyAlignment="1">
      <alignment horizontal="right" vertical="center" wrapText="1"/>
    </xf>
    <xf numFmtId="0" fontId="7" fillId="0" borderId="16" xfId="0" applyFont="1" applyBorder="1" applyAlignment="1">
      <alignment horizontal="right" vertical="center" wrapText="1"/>
    </xf>
    <xf numFmtId="0" fontId="7" fillId="0" borderId="16" xfId="0" applyFont="1" applyBorder="1" applyAlignment="1">
      <alignment horizontal="right" vertical="center"/>
    </xf>
    <xf numFmtId="0" fontId="17" fillId="0" borderId="14" xfId="0" applyFont="1" applyBorder="1"/>
    <xf numFmtId="44" fontId="18" fillId="0" borderId="0" xfId="0" applyNumberFormat="1" applyFont="1" applyAlignment="1"/>
    <xf numFmtId="44" fontId="18" fillId="0" borderId="0" xfId="0" applyNumberFormat="1" applyFont="1"/>
    <xf numFmtId="0" fontId="7" fillId="0" borderId="0" xfId="0" applyFont="1" applyAlignment="1">
      <alignment horizontal="center" vertical="center"/>
    </xf>
    <xf numFmtId="0" fontId="7" fillId="0" borderId="0" xfId="0" applyFont="1" applyAlignment="1">
      <alignment horizontal="center" vertical="center" textRotation="45" wrapText="1"/>
    </xf>
    <xf numFmtId="0" fontId="29" fillId="0" borderId="0" xfId="0" applyFont="1" applyAlignment="1">
      <alignment horizontal="center" vertical="center"/>
    </xf>
    <xf numFmtId="0" fontId="7" fillId="0" borderId="0" xfId="0" applyFont="1" applyAlignment="1">
      <alignment horizontal="center" vertical="center" textRotation="60" wrapText="1"/>
    </xf>
    <xf numFmtId="0" fontId="29" fillId="0" borderId="0" xfId="0" applyFont="1" applyAlignment="1">
      <alignment horizontal="left" vertical="center"/>
    </xf>
    <xf numFmtId="0" fontId="7" fillId="0" borderId="0" xfId="0" applyFont="1" applyAlignment="1">
      <alignment horizontal="left" textRotation="60" wrapText="1"/>
    </xf>
    <xf numFmtId="0" fontId="7" fillId="0" borderId="59" xfId="0" applyFont="1" applyBorder="1" applyAlignment="1">
      <alignment horizontal="center" textRotation="60" wrapText="1"/>
    </xf>
    <xf numFmtId="0" fontId="7" fillId="0" borderId="60" xfId="0" applyFont="1" applyBorder="1" applyAlignment="1">
      <alignment horizontal="center" textRotation="60" wrapText="1"/>
    </xf>
    <xf numFmtId="0" fontId="7" fillId="0" borderId="61" xfId="0" applyFont="1" applyBorder="1" applyAlignment="1">
      <alignment horizontal="center" textRotation="60" wrapText="1"/>
    </xf>
    <xf numFmtId="0" fontId="7" fillId="0" borderId="62" xfId="0" applyFont="1" applyBorder="1" applyAlignment="1">
      <alignment horizontal="center" textRotation="60" wrapText="1"/>
    </xf>
    <xf numFmtId="0" fontId="7" fillId="0" borderId="62" xfId="0" applyFont="1" applyBorder="1" applyAlignment="1">
      <alignment horizontal="center" textRotation="60" wrapText="1"/>
    </xf>
    <xf numFmtId="0" fontId="7" fillId="0" borderId="63" xfId="0" applyFont="1" applyBorder="1" applyAlignment="1">
      <alignment horizontal="center" textRotation="60" wrapText="1"/>
    </xf>
    <xf numFmtId="0" fontId="7" fillId="0" borderId="34" xfId="0" applyFont="1" applyBorder="1" applyAlignment="1">
      <alignment horizontal="center" textRotation="60" wrapText="1"/>
    </xf>
    <xf numFmtId="0" fontId="7" fillId="0" borderId="61" xfId="0" applyFont="1" applyBorder="1" applyAlignment="1">
      <alignment horizontal="center" textRotation="60" wrapText="1"/>
    </xf>
    <xf numFmtId="0" fontId="7" fillId="0" borderId="64" xfId="0" applyFont="1" applyBorder="1" applyAlignment="1">
      <alignment horizontal="center" textRotation="60" wrapText="1"/>
    </xf>
    <xf numFmtId="0" fontId="7" fillId="0" borderId="0" xfId="0" applyFont="1" applyAlignment="1">
      <alignment horizontal="center" textRotation="60" wrapText="1"/>
    </xf>
    <xf numFmtId="0" fontId="7" fillId="0" borderId="33" xfId="0" applyFont="1" applyBorder="1" applyAlignment="1">
      <alignment horizontal="center" textRotation="60" wrapText="1"/>
    </xf>
    <xf numFmtId="0" fontId="7" fillId="0" borderId="35" xfId="0" applyFont="1" applyBorder="1" applyAlignment="1">
      <alignment horizontal="center" textRotation="60" wrapText="1"/>
    </xf>
    <xf numFmtId="0" fontId="7" fillId="0" borderId="0" xfId="0" applyFont="1" applyAlignment="1">
      <alignment horizontal="center" vertical="center" wrapText="1"/>
    </xf>
    <xf numFmtId="44" fontId="30" fillId="0" borderId="67" xfId="0" applyNumberFormat="1" applyFont="1" applyBorder="1" applyAlignment="1">
      <alignment horizontal="right" vertical="center" wrapText="1"/>
    </xf>
    <xf numFmtId="44" fontId="30" fillId="0" borderId="65" xfId="0" applyNumberFormat="1" applyFont="1" applyBorder="1" applyAlignment="1">
      <alignment horizontal="right" vertical="center" wrapText="1"/>
    </xf>
    <xf numFmtId="44" fontId="30" fillId="0" borderId="48" xfId="0" applyNumberFormat="1" applyFont="1" applyBorder="1" applyAlignment="1">
      <alignment horizontal="right" vertical="center" wrapText="1"/>
    </xf>
    <xf numFmtId="44" fontId="25" fillId="0" borderId="0" xfId="0" applyNumberFormat="1" applyFont="1" applyAlignment="1">
      <alignment horizontal="right" vertical="center" wrapText="1"/>
    </xf>
    <xf numFmtId="44" fontId="25" fillId="0" borderId="36" xfId="0" applyNumberFormat="1" applyFont="1" applyBorder="1" applyAlignment="1">
      <alignment horizontal="right" vertical="center" wrapText="1"/>
    </xf>
    <xf numFmtId="44" fontId="30" fillId="0" borderId="5" xfId="0" applyNumberFormat="1" applyFont="1" applyBorder="1" applyAlignment="1">
      <alignment horizontal="right" vertical="center" wrapText="1"/>
    </xf>
    <xf numFmtId="44" fontId="30" fillId="0" borderId="36" xfId="0" applyNumberFormat="1" applyFont="1" applyBorder="1" applyAlignment="1">
      <alignment horizontal="right" vertical="center" wrapText="1"/>
    </xf>
    <xf numFmtId="44" fontId="30" fillId="0" borderId="0" xfId="0" applyNumberFormat="1" applyFont="1" applyAlignment="1">
      <alignment horizontal="right" vertical="center" wrapText="1"/>
    </xf>
    <xf numFmtId="44" fontId="30" fillId="0" borderId="49" xfId="0" applyNumberFormat="1" applyFont="1" applyBorder="1" applyAlignment="1">
      <alignment horizontal="right" vertical="center" wrapText="1"/>
    </xf>
    <xf numFmtId="44" fontId="30" fillId="0" borderId="47" xfId="0" applyNumberFormat="1" applyFont="1" applyBorder="1" applyAlignment="1">
      <alignment horizontal="right" vertical="center" wrapText="1"/>
    </xf>
    <xf numFmtId="44" fontId="30" fillId="0" borderId="45" xfId="0" applyNumberFormat="1" applyFont="1" applyBorder="1" applyAlignment="1">
      <alignment horizontal="right" vertical="center" wrapText="1"/>
    </xf>
    <xf numFmtId="44" fontId="30" fillId="0" borderId="73" xfId="0" applyNumberFormat="1" applyFont="1" applyBorder="1" applyAlignment="1">
      <alignment horizontal="right" vertical="center" wrapText="1"/>
    </xf>
    <xf numFmtId="44" fontId="30" fillId="0" borderId="44" xfId="0" applyNumberFormat="1" applyFont="1" applyBorder="1" applyAlignment="1">
      <alignment horizontal="right" vertical="center" wrapText="1"/>
    </xf>
    <xf numFmtId="44" fontId="30" fillId="0" borderId="69" xfId="0" applyNumberFormat="1" applyFont="1" applyBorder="1" applyAlignment="1">
      <alignment horizontal="right" vertical="center" wrapText="1"/>
    </xf>
    <xf numFmtId="0" fontId="7" fillId="0" borderId="0" xfId="0" applyFont="1" applyAlignment="1">
      <alignment horizontal="center"/>
    </xf>
    <xf numFmtId="0" fontId="7" fillId="5" borderId="0" xfId="0" applyFont="1" applyFill="1" applyAlignment="1">
      <alignment horizontal="center" wrapText="1"/>
    </xf>
    <xf numFmtId="0" fontId="31" fillId="0" borderId="10" xfId="0" applyFont="1" applyBorder="1" applyAlignment="1">
      <alignment horizontal="center" vertical="center" wrapText="1"/>
    </xf>
    <xf numFmtId="0" fontId="32" fillId="0" borderId="12" xfId="0" applyFont="1" applyBorder="1" applyAlignment="1">
      <alignment horizontal="center" vertical="center" wrapText="1"/>
    </xf>
    <xf numFmtId="0" fontId="33" fillId="0" borderId="55" xfId="0" applyFont="1" applyBorder="1" applyAlignment="1">
      <alignment horizontal="center" vertical="center" wrapText="1"/>
    </xf>
    <xf numFmtId="9" fontId="7" fillId="0" borderId="14" xfId="0" applyNumberFormat="1" applyFont="1" applyBorder="1" applyAlignment="1">
      <alignment horizontal="center" vertical="center" wrapText="1"/>
    </xf>
    <xf numFmtId="0" fontId="7" fillId="0" borderId="16" xfId="0" applyFont="1" applyBorder="1" applyAlignment="1">
      <alignment horizontal="center" vertical="center" wrapText="1"/>
    </xf>
    <xf numFmtId="2" fontId="7" fillId="0" borderId="58" xfId="0" applyNumberFormat="1" applyFont="1" applyBorder="1" applyAlignment="1">
      <alignment horizontal="center" vertical="center" wrapText="1"/>
    </xf>
    <xf numFmtId="0" fontId="17" fillId="0" borderId="12" xfId="0" applyFont="1" applyBorder="1"/>
    <xf numFmtId="0" fontId="8" fillId="0" borderId="0" xfId="0" applyFont="1" applyAlignment="1">
      <alignment horizontal="left" vertical="center" wrapText="1"/>
    </xf>
    <xf numFmtId="0" fontId="17" fillId="0" borderId="74" xfId="0" applyFont="1" applyBorder="1"/>
    <xf numFmtId="0" fontId="7" fillId="0" borderId="75" xfId="0" applyFont="1" applyBorder="1" applyAlignment="1">
      <alignment horizontal="right" vertical="center"/>
    </xf>
    <xf numFmtId="44" fontId="18" fillId="0" borderId="57" xfId="0" applyNumberFormat="1" applyFont="1" applyBorder="1"/>
    <xf numFmtId="0" fontId="17" fillId="0" borderId="0" xfId="0" applyFont="1" applyAlignment="1">
      <alignment vertical="center"/>
    </xf>
    <xf numFmtId="0" fontId="8" fillId="0" borderId="14" xfId="0" applyFont="1" applyBorder="1" applyAlignment="1">
      <alignment horizontal="right" vertical="center" wrapText="1"/>
    </xf>
    <xf numFmtId="0" fontId="8" fillId="0" borderId="16" xfId="0" applyFont="1" applyBorder="1" applyAlignment="1">
      <alignment horizontal="left" vertical="center" wrapText="1"/>
    </xf>
    <xf numFmtId="44" fontId="7" fillId="0" borderId="58" xfId="0" applyNumberFormat="1" applyFont="1" applyBorder="1" applyAlignment="1">
      <alignment horizontal="left" vertical="center" wrapText="1"/>
    </xf>
    <xf numFmtId="0" fontId="7" fillId="0" borderId="0" xfId="0" applyFont="1" applyAlignment="1">
      <alignment horizontal="left" wrapText="1"/>
    </xf>
    <xf numFmtId="0" fontId="7" fillId="0" borderId="77" xfId="0" applyFont="1" applyBorder="1" applyAlignment="1">
      <alignment horizontal="center" textRotation="60" wrapText="1"/>
    </xf>
    <xf numFmtId="0" fontId="7" fillId="0" borderId="78" xfId="0" applyFont="1" applyBorder="1" applyAlignment="1">
      <alignment horizontal="center" textRotation="60" wrapText="1"/>
    </xf>
    <xf numFmtId="0" fontId="7" fillId="0" borderId="77" xfId="0" applyFont="1" applyBorder="1" applyAlignment="1">
      <alignment horizontal="center" textRotation="60" wrapText="1"/>
    </xf>
    <xf numFmtId="0" fontId="7" fillId="0" borderId="79" xfId="0" applyFont="1" applyBorder="1" applyAlignment="1">
      <alignment horizontal="center" textRotation="60" wrapText="1"/>
    </xf>
    <xf numFmtId="0" fontId="7" fillId="0" borderId="79" xfId="0" applyFont="1" applyBorder="1" applyAlignment="1">
      <alignment horizontal="center" textRotation="60" wrapText="1"/>
    </xf>
    <xf numFmtId="0" fontId="7" fillId="0" borderId="80" xfId="0" applyFont="1" applyBorder="1" applyAlignment="1">
      <alignment horizontal="center" textRotation="60" wrapText="1"/>
    </xf>
    <xf numFmtId="0" fontId="7" fillId="0" borderId="81" xfId="0" applyFont="1" applyBorder="1" applyAlignment="1">
      <alignment horizontal="center" textRotation="60" wrapText="1"/>
    </xf>
    <xf numFmtId="0" fontId="7" fillId="0" borderId="82" xfId="0" applyFont="1" applyBorder="1" applyAlignment="1">
      <alignment horizontal="center" textRotation="60" wrapText="1"/>
    </xf>
    <xf numFmtId="0" fontId="7" fillId="0" borderId="83" xfId="0" applyFont="1" applyBorder="1" applyAlignment="1">
      <alignment horizontal="center" textRotation="60" wrapText="1"/>
    </xf>
    <xf numFmtId="0" fontId="7" fillId="0" borderId="84" xfId="0" applyFont="1" applyBorder="1" applyAlignment="1">
      <alignment horizontal="center" textRotation="60" wrapText="1"/>
    </xf>
    <xf numFmtId="0" fontId="7" fillId="0" borderId="85" xfId="0" applyFont="1" applyBorder="1" applyAlignment="1">
      <alignment horizontal="center" textRotation="60" wrapText="1"/>
    </xf>
    <xf numFmtId="0" fontId="7" fillId="0" borderId="86" xfId="0" applyFont="1" applyBorder="1" applyAlignment="1">
      <alignment horizontal="center" textRotation="60" wrapText="1"/>
    </xf>
    <xf numFmtId="44" fontId="30" fillId="0" borderId="68" xfId="0" applyNumberFormat="1" applyFont="1" applyBorder="1" applyAlignment="1">
      <alignment horizontal="right" vertical="center" wrapText="1"/>
    </xf>
    <xf numFmtId="44" fontId="25" fillId="0" borderId="67" xfId="0" applyNumberFormat="1" applyFont="1" applyBorder="1" applyAlignment="1">
      <alignment horizontal="right" vertical="center" wrapText="1"/>
    </xf>
    <xf numFmtId="44" fontId="30" fillId="0" borderId="87" xfId="0" applyNumberFormat="1" applyFont="1" applyBorder="1" applyAlignment="1">
      <alignment horizontal="right" vertical="center" wrapText="1"/>
    </xf>
    <xf numFmtId="44" fontId="25" fillId="0" borderId="65" xfId="0" applyNumberFormat="1" applyFont="1" applyBorder="1" applyAlignment="1">
      <alignment horizontal="right" vertical="center" wrapText="1"/>
    </xf>
    <xf numFmtId="44" fontId="25" fillId="0" borderId="66" xfId="0" applyNumberFormat="1" applyFont="1" applyBorder="1" applyAlignment="1">
      <alignment horizontal="right" vertical="center" wrapText="1"/>
    </xf>
    <xf numFmtId="44" fontId="25" fillId="0" borderId="50" xfId="0" applyNumberFormat="1" applyFont="1" applyBorder="1" applyAlignment="1">
      <alignment horizontal="right" vertical="center" wrapText="1"/>
    </xf>
    <xf numFmtId="44" fontId="25" fillId="0" borderId="68" xfId="0" applyNumberFormat="1" applyFont="1" applyBorder="1" applyAlignment="1">
      <alignment horizontal="right" vertical="center" wrapText="1"/>
    </xf>
    <xf numFmtId="44" fontId="30" fillId="0" borderId="72" xfId="0" applyNumberFormat="1" applyFont="1" applyBorder="1" applyAlignment="1">
      <alignment horizontal="right" vertical="center" wrapText="1"/>
    </xf>
    <xf numFmtId="44" fontId="25" fillId="0" borderId="70" xfId="0" applyNumberFormat="1" applyFont="1" applyBorder="1" applyAlignment="1">
      <alignment horizontal="right" vertical="center" wrapText="1"/>
    </xf>
    <xf numFmtId="44" fontId="30" fillId="0" borderId="70" xfId="0" applyNumberFormat="1" applyFont="1" applyBorder="1" applyAlignment="1">
      <alignment horizontal="right" vertical="center" wrapText="1"/>
    </xf>
    <xf numFmtId="44" fontId="25" fillId="0" borderId="71" xfId="0" applyNumberFormat="1" applyFont="1" applyBorder="1" applyAlignment="1">
      <alignment horizontal="right" vertical="center" wrapText="1"/>
    </xf>
    <xf numFmtId="44" fontId="25" fillId="0" borderId="46" xfId="0" applyNumberFormat="1" applyFont="1" applyBorder="1" applyAlignment="1">
      <alignment horizontal="right" vertical="center" wrapText="1"/>
    </xf>
    <xf numFmtId="44" fontId="25" fillId="0" borderId="72" xfId="0" applyNumberFormat="1" applyFont="1" applyBorder="1" applyAlignment="1">
      <alignment horizontal="right" vertical="center" wrapText="1"/>
    </xf>
    <xf numFmtId="10" fontId="7" fillId="0" borderId="14" xfId="0" applyNumberFormat="1" applyFont="1" applyBorder="1" applyAlignment="1">
      <alignment horizontal="center" vertical="center" wrapText="1"/>
    </xf>
    <xf numFmtId="9" fontId="7" fillId="0" borderId="14" xfId="0" applyNumberFormat="1" applyFont="1" applyBorder="1" applyAlignment="1">
      <alignment horizontal="center" vertical="center" wrapText="1"/>
    </xf>
    <xf numFmtId="0" fontId="18" fillId="0" borderId="57" xfId="0" applyFont="1" applyBorder="1" applyAlignment="1">
      <alignment horizontal="left" vertical="center"/>
    </xf>
    <xf numFmtId="44" fontId="30" fillId="0" borderId="43" xfId="0" applyNumberFormat="1" applyFont="1" applyBorder="1" applyAlignment="1">
      <alignment horizontal="right" vertical="center" wrapText="1"/>
    </xf>
    <xf numFmtId="44" fontId="25" fillId="0" borderId="88" xfId="0" applyNumberFormat="1" applyFont="1" applyBorder="1" applyAlignment="1">
      <alignment horizontal="right" vertical="center" wrapText="1"/>
    </xf>
    <xf numFmtId="44" fontId="30" fillId="0" borderId="89" xfId="0" applyNumberFormat="1" applyFont="1" applyBorder="1" applyAlignment="1">
      <alignment horizontal="right" vertical="center" wrapText="1"/>
    </xf>
    <xf numFmtId="44" fontId="30" fillId="0" borderId="88" xfId="0" applyNumberFormat="1" applyFont="1" applyBorder="1" applyAlignment="1">
      <alignment horizontal="right" vertical="center" wrapText="1"/>
    </xf>
    <xf numFmtId="164" fontId="7" fillId="4" borderId="11" xfId="0" applyNumberFormat="1" applyFont="1" applyFill="1" applyBorder="1" applyAlignment="1" applyProtection="1">
      <alignment horizontal="left" vertical="center"/>
      <protection locked="0"/>
    </xf>
    <xf numFmtId="164" fontId="7" fillId="4" borderId="15" xfId="0" applyNumberFormat="1" applyFont="1" applyFill="1" applyBorder="1" applyAlignment="1" applyProtection="1">
      <alignment horizontal="left" vertical="center"/>
      <protection locked="0"/>
    </xf>
    <xf numFmtId="0" fontId="7" fillId="4" borderId="13" xfId="0" applyFont="1" applyFill="1" applyBorder="1" applyAlignment="1" applyProtection="1">
      <alignment horizontal="left" vertical="center"/>
      <protection locked="0"/>
    </xf>
    <xf numFmtId="9" fontId="18" fillId="4" borderId="58" xfId="0" applyNumberFormat="1" applyFont="1" applyFill="1" applyBorder="1" applyAlignment="1" applyProtection="1">
      <alignment horizontal="left" vertical="center"/>
      <protection locked="0"/>
    </xf>
    <xf numFmtId="44" fontId="18" fillId="4" borderId="55" xfId="0" applyNumberFormat="1" applyFont="1" applyFill="1" applyBorder="1" applyAlignment="1" applyProtection="1">
      <protection locked="0"/>
    </xf>
    <xf numFmtId="44" fontId="25" fillId="0" borderId="90" xfId="0" applyNumberFormat="1" applyFont="1" applyBorder="1" applyAlignment="1" applyProtection="1">
      <alignment horizontal="right" vertical="center" wrapText="1"/>
      <protection locked="0"/>
    </xf>
    <xf numFmtId="44" fontId="25" fillId="0" borderId="91" xfId="0" applyNumberFormat="1" applyFont="1" applyBorder="1" applyAlignment="1" applyProtection="1">
      <alignment horizontal="right" vertical="center" wrapText="1"/>
      <protection locked="0"/>
    </xf>
    <xf numFmtId="44" fontId="25" fillId="0" borderId="92" xfId="0" applyNumberFormat="1" applyFont="1" applyBorder="1" applyAlignment="1" applyProtection="1">
      <alignment horizontal="right" vertical="center" wrapText="1"/>
      <protection locked="0"/>
    </xf>
    <xf numFmtId="44" fontId="25" fillId="0" borderId="93" xfId="0" applyNumberFormat="1" applyFont="1" applyBorder="1" applyAlignment="1" applyProtection="1">
      <alignment horizontal="right" vertical="center" wrapText="1"/>
      <protection locked="0"/>
    </xf>
    <xf numFmtId="44" fontId="25" fillId="0" borderId="94" xfId="0" applyNumberFormat="1" applyFont="1" applyBorder="1" applyAlignment="1" applyProtection="1">
      <alignment horizontal="right" vertical="center" wrapText="1"/>
      <protection locked="0"/>
    </xf>
    <xf numFmtId="44" fontId="25" fillId="0" borderId="95" xfId="0" applyNumberFormat="1" applyFont="1" applyBorder="1" applyAlignment="1" applyProtection="1">
      <alignment horizontal="right" vertical="center" wrapText="1"/>
      <protection locked="0"/>
    </xf>
    <xf numFmtId="44" fontId="25" fillId="0" borderId="100" xfId="0" applyNumberFormat="1" applyFont="1" applyBorder="1" applyAlignment="1" applyProtection="1">
      <alignment horizontal="right" vertical="center" wrapText="1"/>
      <protection locked="0"/>
    </xf>
    <xf numFmtId="44" fontId="25" fillId="0" borderId="101" xfId="0" applyNumberFormat="1" applyFont="1" applyBorder="1" applyAlignment="1" applyProtection="1">
      <alignment horizontal="right" vertical="center" wrapText="1"/>
      <protection locked="0"/>
    </xf>
    <xf numFmtId="44" fontId="25" fillId="0" borderId="102" xfId="0" applyNumberFormat="1" applyFont="1" applyBorder="1" applyAlignment="1" applyProtection="1">
      <alignment horizontal="right" vertical="center" wrapText="1"/>
      <protection locked="0"/>
    </xf>
    <xf numFmtId="44" fontId="25" fillId="0" borderId="104" xfId="0" applyNumberFormat="1" applyFont="1" applyBorder="1" applyAlignment="1" applyProtection="1">
      <alignment horizontal="right" vertical="center" wrapText="1"/>
      <protection locked="0"/>
    </xf>
    <xf numFmtId="44" fontId="25" fillId="0" borderId="105" xfId="0" applyNumberFormat="1" applyFont="1" applyBorder="1" applyAlignment="1" applyProtection="1">
      <alignment horizontal="right" vertical="center" wrapText="1"/>
      <protection locked="0"/>
    </xf>
    <xf numFmtId="44" fontId="25" fillId="0" borderId="106" xfId="0" applyNumberFormat="1" applyFont="1" applyBorder="1" applyAlignment="1" applyProtection="1">
      <alignment horizontal="right" vertical="center" wrapText="1"/>
      <protection locked="0"/>
    </xf>
    <xf numFmtId="44" fontId="25" fillId="0" borderId="43" xfId="0" applyNumberFormat="1" applyFont="1" applyBorder="1" applyAlignment="1">
      <alignment horizontal="right" vertical="center" wrapText="1"/>
    </xf>
    <xf numFmtId="44" fontId="30" fillId="0" borderId="107" xfId="0" applyNumberFormat="1" applyFont="1" applyBorder="1" applyAlignment="1">
      <alignment horizontal="right" vertical="center" wrapText="1"/>
    </xf>
    <xf numFmtId="44" fontId="25" fillId="0" borderId="108" xfId="0" applyNumberFormat="1" applyFont="1" applyBorder="1" applyAlignment="1" applyProtection="1">
      <alignment horizontal="right" vertical="center" wrapText="1"/>
      <protection locked="0"/>
    </xf>
    <xf numFmtId="44" fontId="25" fillId="0" borderId="109" xfId="0" applyNumberFormat="1" applyFont="1" applyBorder="1" applyAlignment="1" applyProtection="1">
      <alignment horizontal="right" vertical="center" wrapText="1"/>
      <protection locked="0"/>
    </xf>
    <xf numFmtId="44" fontId="25" fillId="0" borderId="96" xfId="0" applyNumberFormat="1" applyFont="1" applyBorder="1" applyAlignment="1" applyProtection="1">
      <alignment horizontal="right" vertical="center" wrapText="1"/>
      <protection locked="0"/>
    </xf>
    <xf numFmtId="44" fontId="25" fillId="0" borderId="97" xfId="0" applyNumberFormat="1" applyFont="1" applyBorder="1" applyAlignment="1" applyProtection="1">
      <alignment horizontal="right" vertical="center" wrapText="1"/>
      <protection locked="0"/>
    </xf>
    <xf numFmtId="44" fontId="25" fillId="0" borderId="98" xfId="0" applyNumberFormat="1" applyFont="1" applyBorder="1" applyAlignment="1" applyProtection="1">
      <alignment horizontal="right" vertical="center" wrapText="1"/>
      <protection locked="0"/>
    </xf>
    <xf numFmtId="44" fontId="25" fillId="0" borderId="99" xfId="0" applyNumberFormat="1" applyFont="1" applyBorder="1" applyAlignment="1" applyProtection="1">
      <alignment horizontal="right" vertical="center" wrapText="1"/>
      <protection locked="0"/>
    </xf>
    <xf numFmtId="44" fontId="25" fillId="0" borderId="110" xfId="0" applyNumberFormat="1" applyFont="1" applyBorder="1" applyAlignment="1" applyProtection="1">
      <alignment horizontal="right" vertical="center" wrapText="1"/>
      <protection locked="0"/>
    </xf>
    <xf numFmtId="44" fontId="25" fillId="0" borderId="111" xfId="0" applyNumberFormat="1" applyFont="1" applyBorder="1" applyAlignment="1" applyProtection="1">
      <alignment horizontal="right" vertical="center" wrapText="1"/>
      <protection locked="0"/>
    </xf>
    <xf numFmtId="44" fontId="25" fillId="0" borderId="112" xfId="0" applyNumberFormat="1" applyFont="1" applyBorder="1" applyAlignment="1" applyProtection="1">
      <alignment horizontal="right" vertical="center" wrapText="1"/>
      <protection locked="0"/>
    </xf>
    <xf numFmtId="44" fontId="25" fillId="0" borderId="103" xfId="0" applyNumberFormat="1" applyFont="1" applyBorder="1" applyAlignment="1" applyProtection="1">
      <alignment horizontal="right" vertical="center" wrapText="1"/>
      <protection locked="0"/>
    </xf>
    <xf numFmtId="44" fontId="25" fillId="0" borderId="113" xfId="0" applyNumberFormat="1" applyFont="1" applyBorder="1" applyAlignment="1" applyProtection="1">
      <alignment horizontal="right" vertical="center" wrapText="1"/>
      <protection locked="0"/>
    </xf>
    <xf numFmtId="0" fontId="6" fillId="0" borderId="114" xfId="0" applyFont="1" applyBorder="1" applyAlignment="1">
      <alignment wrapText="1"/>
    </xf>
    <xf numFmtId="0" fontId="4" fillId="3" borderId="3" xfId="0" applyFont="1" applyFill="1" applyBorder="1" applyAlignment="1">
      <alignment horizontal="left" vertical="center" wrapText="1"/>
    </xf>
    <xf numFmtId="0" fontId="5" fillId="0" borderId="4" xfId="0" applyFont="1" applyBorder="1"/>
    <xf numFmtId="0" fontId="8" fillId="4" borderId="21" xfId="0" applyFont="1" applyFill="1" applyBorder="1" applyAlignment="1" applyProtection="1">
      <alignment horizontal="left" vertical="center" wrapText="1"/>
      <protection locked="0"/>
    </xf>
    <xf numFmtId="0" fontId="5" fillId="0" borderId="22" xfId="0" applyFont="1" applyBorder="1" applyProtection="1">
      <protection locked="0"/>
    </xf>
    <xf numFmtId="0" fontId="5" fillId="0" borderId="23" xfId="0" applyFont="1" applyBorder="1" applyProtection="1">
      <protection locked="0"/>
    </xf>
    <xf numFmtId="0" fontId="8" fillId="4" borderId="25" xfId="0" applyFont="1" applyFill="1" applyBorder="1" applyAlignment="1" applyProtection="1">
      <alignment horizontal="left" vertical="center" wrapText="1"/>
      <protection locked="0"/>
    </xf>
    <xf numFmtId="0" fontId="5" fillId="0" borderId="26" xfId="0" applyFont="1" applyBorder="1" applyProtection="1">
      <protection locked="0"/>
    </xf>
    <xf numFmtId="0" fontId="5" fillId="0" borderId="27" xfId="0" applyFont="1" applyBorder="1" applyProtection="1">
      <protection locked="0"/>
    </xf>
    <xf numFmtId="0" fontId="7" fillId="0" borderId="0" xfId="0" applyFont="1" applyAlignment="1">
      <alignment horizontal="left" vertical="center"/>
    </xf>
    <xf numFmtId="0" fontId="0" fillId="0" borderId="0" xfId="0" applyFont="1" applyAlignment="1"/>
    <xf numFmtId="0" fontId="9" fillId="0" borderId="7" xfId="0" applyFont="1" applyBorder="1" applyAlignment="1">
      <alignment horizontal="center" vertical="center"/>
    </xf>
    <xf numFmtId="0" fontId="5" fillId="0" borderId="8" xfId="0" applyFont="1" applyBorder="1"/>
    <xf numFmtId="0" fontId="5" fillId="0" borderId="9" xfId="0" applyFont="1" applyBorder="1"/>
    <xf numFmtId="0" fontId="10" fillId="0" borderId="0" xfId="0" applyFont="1" applyAlignment="1">
      <alignment horizontal="left" vertical="center"/>
    </xf>
    <xf numFmtId="0" fontId="8" fillId="4" borderId="18" xfId="0" applyFont="1" applyFill="1" applyBorder="1" applyAlignment="1" applyProtection="1">
      <alignment horizontal="left" vertical="center" wrapText="1"/>
      <protection locked="0"/>
    </xf>
    <xf numFmtId="0" fontId="5" fillId="0" borderId="19" xfId="0" applyFont="1" applyBorder="1" applyProtection="1">
      <protection locked="0"/>
    </xf>
    <xf numFmtId="0" fontId="5" fillId="0" borderId="20" xfId="0" applyFont="1" applyBorder="1" applyProtection="1">
      <protection locked="0"/>
    </xf>
    <xf numFmtId="0" fontId="7" fillId="0" borderId="0" xfId="0" applyFont="1" applyAlignment="1">
      <alignment horizontal="center"/>
    </xf>
    <xf numFmtId="0" fontId="8" fillId="4" borderId="29" xfId="0" applyFont="1" applyFill="1" applyBorder="1" applyAlignment="1" applyProtection="1">
      <alignment horizontal="left" vertical="center" wrapText="1"/>
      <protection locked="0"/>
    </xf>
    <xf numFmtId="0" fontId="5" fillId="0" borderId="30" xfId="0" applyFont="1" applyBorder="1" applyProtection="1">
      <protection locked="0"/>
    </xf>
    <xf numFmtId="0" fontId="5" fillId="0" borderId="31" xfId="0" applyFont="1" applyBorder="1" applyProtection="1">
      <protection locked="0"/>
    </xf>
    <xf numFmtId="0" fontId="11" fillId="0" borderId="0" xfId="0" applyFont="1" applyAlignment="1">
      <alignment horizontal="left" vertical="center"/>
    </xf>
    <xf numFmtId="0" fontId="24" fillId="0" borderId="42" xfId="0" applyFont="1" applyBorder="1" applyAlignment="1">
      <alignment horizontal="center" vertical="center" wrapText="1"/>
    </xf>
    <xf numFmtId="0" fontId="5" fillId="0" borderId="41" xfId="0" applyFont="1" applyBorder="1"/>
    <xf numFmtId="0" fontId="7" fillId="0" borderId="0" xfId="0" applyFont="1" applyAlignment="1">
      <alignment horizontal="center" vertical="center" wrapText="1"/>
    </xf>
    <xf numFmtId="0" fontId="18" fillId="6" borderId="34" xfId="0" applyFont="1" applyFill="1" applyBorder="1" applyAlignment="1">
      <alignment horizontal="left" wrapText="1"/>
    </xf>
    <xf numFmtId="0" fontId="5" fillId="6" borderId="35" xfId="0" applyFont="1" applyFill="1" applyBorder="1"/>
    <xf numFmtId="44" fontId="17" fillId="7" borderId="0" xfId="0" applyNumberFormat="1" applyFont="1" applyFill="1" applyAlignment="1">
      <alignment horizontal="center" vertical="center"/>
    </xf>
    <xf numFmtId="0" fontId="5" fillId="7" borderId="38" xfId="0" applyFont="1" applyFill="1" applyBorder="1"/>
    <xf numFmtId="0" fontId="22" fillId="0" borderId="0" xfId="0" applyFont="1" applyAlignment="1">
      <alignment horizontal="center" vertical="center" wrapText="1"/>
    </xf>
    <xf numFmtId="0" fontId="23" fillId="0" borderId="40" xfId="0" applyFont="1" applyBorder="1" applyAlignment="1">
      <alignment horizontal="center" vertical="center" wrapText="1"/>
    </xf>
    <xf numFmtId="0" fontId="5" fillId="0" borderId="42" xfId="0" applyFont="1" applyBorder="1"/>
    <xf numFmtId="44" fontId="7" fillId="0" borderId="12" xfId="0" applyNumberFormat="1" applyFont="1" applyBorder="1" applyAlignment="1">
      <alignment horizontal="left" vertical="center"/>
    </xf>
    <xf numFmtId="0" fontId="5" fillId="0" borderId="55" xfId="0" applyFont="1" applyBorder="1"/>
    <xf numFmtId="44" fontId="7" fillId="0" borderId="0" xfId="0" applyNumberFormat="1" applyFont="1" applyAlignment="1">
      <alignment horizontal="left" vertical="center" wrapText="1"/>
    </xf>
    <xf numFmtId="0" fontId="5" fillId="0" borderId="57" xfId="0" applyFont="1" applyBorder="1"/>
    <xf numFmtId="44" fontId="8" fillId="0" borderId="16" xfId="0" applyNumberFormat="1" applyFont="1" applyBorder="1" applyAlignment="1">
      <alignment horizontal="left" vertical="center" wrapText="1"/>
    </xf>
    <xf numFmtId="0" fontId="5" fillId="0" borderId="58" xfId="0" applyFont="1" applyBorder="1"/>
    <xf numFmtId="0" fontId="28" fillId="0" borderId="0" xfId="0" applyFont="1" applyAlignment="1">
      <alignment horizontal="center" vertical="center"/>
    </xf>
    <xf numFmtId="44" fontId="7" fillId="0" borderId="75" xfId="0" applyNumberFormat="1" applyFont="1" applyBorder="1" applyAlignment="1">
      <alignment horizontal="right" vertical="center"/>
    </xf>
    <xf numFmtId="0" fontId="5" fillId="0" borderId="76" xfId="0" applyFont="1" applyBorder="1"/>
  </cellXfs>
  <cellStyles count="1">
    <cellStyle name="Normal" xfId="0" builtinId="0"/>
  </cellStyles>
  <dxfs count="193">
    <dxf>
      <border diagonalUp="0" diagonalDown="0">
        <left style="double">
          <color theme="0" tint="-0.34998626667073579"/>
        </left>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thin">
          <color rgb="FF000000"/>
        </left>
        <right style="thin">
          <color rgb="FF000000"/>
        </right>
        <top style="thin">
          <color rgb="FF000000"/>
        </top>
        <bottom style="medium">
          <color rgb="FF000000"/>
        </bottom>
      </border>
    </dxf>
    <dxf>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thin">
          <color rgb="FF000000"/>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medium">
          <color rgb="FF00000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medium">
          <color rgb="FF000000"/>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medium">
          <color rgb="FF00000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protection locked="0" hidden="0"/>
    </dxf>
    <dxf>
      <protection locked="0" hidden="0"/>
    </dxf>
    <dxf>
      <protection locked="0" hidden="0"/>
    </dxf>
    <dxf>
      <border diagonalUp="0" diagonalDown="0">
        <left/>
        <right/>
        <top style="double">
          <color theme="0" tint="-0.34998626667073579"/>
        </top>
        <bottom style="double">
          <color theme="0" tint="-0.34998626667073579"/>
        </bottom>
        <vertical/>
        <horizontal style="double">
          <color theme="0" tint="-0.34998626667073579"/>
        </horizontal>
      </border>
      <protection locked="0" hidden="0"/>
    </dxf>
    <dxf>
      <protection locked="0" hidden="0"/>
    </dxf>
    <dxf>
      <border diagonalUp="0" diagonalDown="0">
        <left style="double">
          <color theme="0" tint="-0.34998626667073579"/>
        </left>
        <right style="double">
          <color theme="0" tint="-0.34998626667073579"/>
        </right>
        <top style="thin">
          <color rgb="FF000000"/>
        </top>
        <bottom style="medium">
          <color rgb="FF000000"/>
        </bottom>
      </border>
    </dxf>
    <dxf>
      <protection locked="0" hidden="0"/>
    </dxf>
    <dxf>
      <protection locked="0" hidden="0"/>
    </dxf>
    <dxf>
      <border diagonalUp="0" diagonalDown="0">
        <left/>
        <right/>
        <top style="double">
          <color theme="0" tint="-0.34998626667073579"/>
        </top>
        <bottom style="double">
          <color theme="0" tint="-0.34998626667073579"/>
        </bottom>
        <vertical/>
        <horizontal style="double">
          <color theme="0" tint="-0.34998626667073579"/>
        </horizontal>
      </border>
      <protection locked="0" hidden="0"/>
    </dxf>
    <dxf>
      <protection locked="0" hidden="0"/>
    </dxf>
    <dxf>
      <border diagonalUp="0" diagonalDown="0">
        <left style="double">
          <color theme="0" tint="-0.34998626667073579"/>
        </left>
        <right style="double">
          <color theme="0" tint="-0.34998626667073579"/>
        </right>
        <top style="thin">
          <color rgb="FF000000"/>
        </top>
        <bottom style="medium">
          <color rgb="FF000000"/>
        </bottom>
      </border>
    </dxf>
    <dxf>
      <protection locked="0" hidden="0"/>
    </dxf>
    <dxf>
      <protection locked="0" hidden="0"/>
    </dxf>
    <dxf>
      <border diagonalUp="0" diagonalDown="0">
        <left style="double">
          <color theme="0" tint="-0.34998626667073579"/>
        </left>
        <right style="thin">
          <color rgb="FF000000"/>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medium">
          <color rgb="FF00000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medium">
          <color rgb="FF000000"/>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medium">
          <color rgb="FF00000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protection locked="0" hidden="0"/>
    </dxf>
    <dxf>
      <protection locked="0" hidden="0"/>
    </dxf>
    <dxf>
      <protection locked="0" hidden="0"/>
    </dxf>
    <dxf>
      <border diagonalUp="0" diagonalDown="0">
        <left style="double">
          <color theme="0" tint="-0.34998626667073579"/>
        </left>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thin">
          <color rgb="FF000000"/>
        </left>
        <right style="thin">
          <color rgb="FF000000"/>
        </right>
        <top style="thin">
          <color rgb="FF000000"/>
        </top>
        <bottom style="medium">
          <color rgb="FF000000"/>
        </bottom>
      </border>
    </dxf>
    <dxf>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thin">
          <color rgb="FF000000"/>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medium">
          <color rgb="FF00000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medium">
          <color rgb="FF000000"/>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medium">
          <color rgb="FF00000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protection locked="0" hidden="0"/>
    </dxf>
    <dxf>
      <protection locked="0" hidden="0"/>
    </dxf>
    <dxf>
      <protection locked="0" hidden="0"/>
    </dxf>
    <dxf>
      <border diagonalUp="0" diagonalDown="0">
        <left style="double">
          <color theme="0" tint="-0.34998626667073579"/>
        </left>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thin">
          <color rgb="FF000000"/>
        </left>
        <right style="thin">
          <color rgb="FF000000"/>
        </right>
        <top style="thin">
          <color rgb="FF000000"/>
        </top>
        <bottom style="medium">
          <color rgb="FF000000"/>
        </bottom>
      </border>
    </dxf>
    <dxf>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right/>
        <top style="double">
          <color theme="0" tint="-0.34998626667073579"/>
        </top>
        <bottom style="double">
          <color theme="0" tint="-0.34998626667073579"/>
        </bottom>
        <vertical/>
        <horizontal style="double">
          <color theme="0" tint="-0.34998626667073579"/>
        </horizontal>
      </border>
      <protection locked="0" hidden="0"/>
    </dxf>
    <dxf>
      <protection locked="0" hidden="0"/>
    </dxf>
    <dxf>
      <border diagonalUp="0" diagonalDown="0">
        <left style="double">
          <color theme="0" tint="-0.34998626667073579"/>
        </left>
        <right style="double">
          <color theme="0" tint="-0.34998626667073579"/>
        </right>
        <top style="thin">
          <color rgb="FF000000"/>
        </top>
        <bottom style="medium">
          <color rgb="FF000000"/>
        </bottom>
      </border>
    </dxf>
    <dxf>
      <protection locked="0" hidden="0"/>
    </dxf>
    <dxf>
      <protection locked="0" hidden="0"/>
    </dxf>
    <dxf>
      <border diagonalUp="0" diagonalDown="0">
        <left style="double">
          <color theme="0" tint="-0.34998626667073579"/>
        </left>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thin">
          <color rgb="FF000000"/>
        </left>
        <right style="thin">
          <color rgb="FF000000"/>
        </right>
        <top style="thin">
          <color rgb="FF000000"/>
        </top>
        <bottom style="medium">
          <color rgb="FF000000"/>
        </bottom>
      </border>
    </dxf>
    <dxf>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right/>
        <top style="double">
          <color theme="0" tint="-0.34998626667073579"/>
        </top>
        <bottom style="double">
          <color theme="0" tint="-0.34998626667073579"/>
        </bottom>
        <vertical/>
        <horizontal style="double">
          <color theme="0" tint="-0.34998626667073579"/>
        </horizontal>
      </border>
      <protection locked="0" hidden="0"/>
    </dxf>
    <dxf>
      <protection locked="0" hidden="0"/>
    </dxf>
    <dxf>
      <border diagonalUp="0" diagonalDown="0">
        <left style="double">
          <color theme="0" tint="-0.34998626667073579"/>
        </left>
        <right style="double">
          <color theme="0" tint="-0.34998626667073579"/>
        </right>
        <top style="thin">
          <color rgb="FF000000"/>
        </top>
        <bottom style="medium">
          <color rgb="FF000000"/>
        </bottom>
      </border>
    </dxf>
    <dxf>
      <protection locked="0" hidden="0"/>
    </dxf>
    <dxf>
      <protection locked="0" hidden="0"/>
    </dxf>
    <dxf>
      <border diagonalUp="0" diagonalDown="0">
        <left style="double">
          <color theme="0" tint="-0.34998626667073579"/>
        </left>
        <right style="thin">
          <color rgb="FF000000"/>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medium">
          <color rgb="FF00000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medium">
          <color rgb="FF000000"/>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medium">
          <color rgb="FF00000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protection locked="0" hidden="0"/>
    </dxf>
    <dxf>
      <protection locked="0" hidden="0"/>
    </dxf>
    <dxf>
      <protection locked="0" hidden="0"/>
    </dxf>
    <dxf>
      <border diagonalUp="0" diagonalDown="0">
        <left/>
        <right/>
        <top style="double">
          <color theme="0" tint="-0.34998626667073579"/>
        </top>
        <bottom style="double">
          <color theme="0" tint="-0.34998626667073579"/>
        </bottom>
        <vertical/>
        <horizontal style="double">
          <color theme="0" tint="-0.34998626667073579"/>
        </horizontal>
      </border>
      <protection locked="0" hidden="0"/>
    </dxf>
    <dxf>
      <protection locked="0" hidden="0"/>
    </dxf>
    <dxf>
      <border diagonalUp="0" diagonalDown="0">
        <left style="double">
          <color theme="0" tint="-0.34998626667073579"/>
        </left>
        <right style="double">
          <color theme="0" tint="-0.34998626667073579"/>
        </right>
        <top style="thin">
          <color rgb="FF000000"/>
        </top>
        <bottom style="medium">
          <color rgb="FF000000"/>
        </bottom>
      </border>
    </dxf>
    <dxf>
      <protection locked="0" hidden="0"/>
    </dxf>
    <dxf>
      <protection locked="0" hidden="0"/>
    </dxf>
    <dxf>
      <border diagonalUp="0" diagonalDown="0">
        <left style="double">
          <color theme="0" tint="-0.34998626667073579"/>
        </left>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thin">
          <color rgb="FF000000"/>
        </left>
        <right style="thin">
          <color rgb="FF000000"/>
        </right>
        <top style="thin">
          <color rgb="FF000000"/>
        </top>
        <bottom style="medium">
          <color rgb="FF000000"/>
        </bottom>
      </border>
    </dxf>
    <dxf>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thin">
          <color rgb="FF000000"/>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medium">
          <color rgb="FF00000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medium">
          <color rgb="FF000000"/>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medium">
          <color rgb="FF00000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protection locked="0" hidden="0"/>
    </dxf>
    <dxf>
      <protection locked="0" hidden="0"/>
    </dxf>
    <dxf>
      <protection locked="0" hidden="0"/>
    </dxf>
    <dxf>
      <border diagonalUp="0" diagonalDown="0">
        <left/>
        <right/>
        <top style="double">
          <color theme="0" tint="-0.34998626667073579"/>
        </top>
        <bottom style="double">
          <color theme="0" tint="-0.34998626667073579"/>
        </bottom>
        <vertical/>
        <horizontal style="double">
          <color theme="0" tint="-0.34998626667073579"/>
        </horizontal>
      </border>
      <protection locked="0" hidden="0"/>
    </dxf>
    <dxf>
      <protection locked="0" hidden="0"/>
    </dxf>
    <dxf>
      <border diagonalUp="0" diagonalDown="0">
        <left style="double">
          <color theme="0" tint="-0.34998626667073579"/>
        </left>
        <right style="double">
          <color theme="0" tint="-0.34998626667073579"/>
        </right>
        <top style="medium">
          <color rgb="FF000000"/>
        </top>
        <bottom style="medium">
          <color rgb="FF000000"/>
        </bottom>
      </border>
    </dxf>
    <dxf>
      <protection locked="0" hidden="0"/>
    </dxf>
    <dxf>
      <protection locked="0" hidden="0"/>
    </dxf>
    <dxf>
      <border diagonalUp="0" diagonalDown="0">
        <left style="double">
          <color theme="0" tint="-0.34998626667073579"/>
        </left>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medium">
          <color rgb="FF000000"/>
        </left>
        <right style="medium">
          <color rgb="FF000000"/>
        </right>
        <top style="medium">
          <color rgb="FF000000"/>
        </top>
        <bottom style="medium">
          <color rgb="FF000000"/>
        </bottom>
      </border>
    </dxf>
    <dxf>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thin">
          <color rgb="FF000000"/>
        </left>
        <right/>
        <top style="medium">
          <color rgb="FF000000"/>
        </top>
        <bottom style="medium">
          <color rgb="FF000000"/>
        </bottom>
      </border>
    </dxf>
    <dxf>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border diagonalUp="0" diagonalDown="0">
        <left style="medium">
          <color rgb="FF000000"/>
        </left>
        <right style="medium">
          <color rgb="FF000000"/>
        </right>
        <top style="medium">
          <color rgb="FF000000"/>
        </top>
        <bottom style="medium">
          <color rgb="FF000000"/>
        </bottom>
      </border>
    </dxf>
    <dxf>
      <protection locked="0" hidden="0"/>
    </dxf>
    <dxf>
      <border diagonalUp="0" diagonalDown="0">
        <left style="double">
          <color theme="0" tint="-0.34998626667073579"/>
        </left>
        <right style="double">
          <color theme="0" tint="-0.34998626667073579"/>
        </right>
        <top/>
        <bottom/>
        <vertical style="double">
          <color theme="0" tint="-0.34998626667073579"/>
        </vertical>
        <horizontal style="double">
          <color theme="0" tint="-0.34998626667073579"/>
        </horizontal>
      </border>
      <protection locked="0" hidden="0"/>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
      <fill>
        <patternFill patternType="solid">
          <fgColor rgb="FFDDF2F0"/>
          <bgColor rgb="FFDDF2F0"/>
        </patternFill>
      </fill>
    </dxf>
    <dxf>
      <fill>
        <patternFill patternType="solid">
          <fgColor rgb="FFD9EAD3"/>
          <bgColor rgb="FFD9EAD3"/>
        </patternFill>
      </fill>
    </dxf>
  </dxfs>
  <tableStyles count="19">
    <tableStyle name="SQ Mgmt-style" pivot="0" count="2" xr9:uid="{00000000-0011-0000-FFFF-FFFF00000000}">
      <tableStyleElement type="firstRowStripe" dxfId="192"/>
      <tableStyleElement type="secondRowStripe" dxfId="191"/>
    </tableStyle>
    <tableStyle name="SQ Mgmt-style 2" pivot="0" count="2" xr9:uid="{00000000-0011-0000-FFFF-FFFF01000000}">
      <tableStyleElement type="firstRowStripe" dxfId="190"/>
      <tableStyleElement type="secondRowStripe" dxfId="189"/>
    </tableStyle>
    <tableStyle name="SQ Mgmt-style 3" pivot="0" count="2" xr9:uid="{00000000-0011-0000-FFFF-FFFF02000000}">
      <tableStyleElement type="firstRowStripe" dxfId="188"/>
      <tableStyleElement type="secondRowStripe" dxfId="187"/>
    </tableStyle>
    <tableStyle name="SQ Mgmt-style 4" pivot="0" count="2" xr9:uid="{00000000-0011-0000-FFFF-FFFF03000000}">
      <tableStyleElement type="firstRowStripe" dxfId="186"/>
      <tableStyleElement type="secondRowStripe" dxfId="185"/>
    </tableStyle>
    <tableStyle name="Alt 1 Mgmt-style" pivot="0" count="2" xr9:uid="{00000000-0011-0000-FFFF-FFFF04000000}">
      <tableStyleElement type="firstRowStripe" dxfId="184"/>
      <tableStyleElement type="secondRowStripe" dxfId="183"/>
    </tableStyle>
    <tableStyle name="Alt 1 Mgmt-style 2" pivot="0" count="2" xr9:uid="{00000000-0011-0000-FFFF-FFFF05000000}">
      <tableStyleElement type="firstRowStripe" dxfId="182"/>
      <tableStyleElement type="secondRowStripe" dxfId="181"/>
    </tableStyle>
    <tableStyle name="Alt 1 Mgmt-style 3" pivot="0" count="2" xr9:uid="{00000000-0011-0000-FFFF-FFFF06000000}">
      <tableStyleElement type="firstRowStripe" dxfId="180"/>
      <tableStyleElement type="secondRowStripe" dxfId="179"/>
    </tableStyle>
    <tableStyle name="Alt 2 Mgmt-style" pivot="0" count="2" xr9:uid="{00000000-0011-0000-FFFF-FFFF07000000}">
      <tableStyleElement type="firstRowStripe" dxfId="178"/>
      <tableStyleElement type="secondRowStripe" dxfId="177"/>
    </tableStyle>
    <tableStyle name="Alt 2 Mgmt-style 2" pivot="0" count="2" xr9:uid="{00000000-0011-0000-FFFF-FFFF08000000}">
      <tableStyleElement type="firstRowStripe" dxfId="176"/>
      <tableStyleElement type="secondRowStripe" dxfId="175"/>
    </tableStyle>
    <tableStyle name="Alt 2 Mgmt-style 3" pivot="0" count="2" xr9:uid="{00000000-0011-0000-FFFF-FFFF09000000}">
      <tableStyleElement type="firstRowStripe" dxfId="174"/>
      <tableStyleElement type="secondRowStripe" dxfId="173"/>
    </tableStyle>
    <tableStyle name="Alt 3 Mgmt-style" pivot="0" count="2" xr9:uid="{00000000-0011-0000-FFFF-FFFF0A000000}">
      <tableStyleElement type="firstRowStripe" dxfId="172"/>
      <tableStyleElement type="secondRowStripe" dxfId="171"/>
    </tableStyle>
    <tableStyle name="Alt 3 Mgmt-style 2" pivot="0" count="2" xr9:uid="{00000000-0011-0000-FFFF-FFFF0B000000}">
      <tableStyleElement type="firstRowStripe" dxfId="170"/>
      <tableStyleElement type="secondRowStripe" dxfId="169"/>
    </tableStyle>
    <tableStyle name="Alt 3 Mgmt-style 3" pivot="0" count="2" xr9:uid="{00000000-0011-0000-FFFF-FFFF0C000000}">
      <tableStyleElement type="firstRowStripe" dxfId="168"/>
      <tableStyleElement type="secondRowStripe" dxfId="167"/>
    </tableStyle>
    <tableStyle name="Alt 4 Mgmt-style" pivot="0" count="2" xr9:uid="{00000000-0011-0000-FFFF-FFFF0D000000}">
      <tableStyleElement type="firstRowStripe" dxfId="166"/>
      <tableStyleElement type="secondRowStripe" dxfId="165"/>
    </tableStyle>
    <tableStyle name="Alt 4 Mgmt-style 2" pivot="0" count="2" xr9:uid="{00000000-0011-0000-FFFF-FFFF0E000000}">
      <tableStyleElement type="firstRowStripe" dxfId="164"/>
      <tableStyleElement type="secondRowStripe" dxfId="163"/>
    </tableStyle>
    <tableStyle name="Alt 4 Mgmt-style 3" pivot="0" count="2" xr9:uid="{00000000-0011-0000-FFFF-FFFF0F000000}">
      <tableStyleElement type="firstRowStripe" dxfId="162"/>
      <tableStyleElement type="secondRowStripe" dxfId="161"/>
    </tableStyle>
    <tableStyle name="Alt 5 Mgmt-style" pivot="0" count="2" xr9:uid="{00000000-0011-0000-FFFF-FFFF10000000}">
      <tableStyleElement type="firstRowStripe" dxfId="160"/>
      <tableStyleElement type="secondRowStripe" dxfId="159"/>
    </tableStyle>
    <tableStyle name="Alt 5 Mgmt-style 2" pivot="0" count="2" xr9:uid="{00000000-0011-0000-FFFF-FFFF11000000}">
      <tableStyleElement type="firstRowStripe" dxfId="158"/>
      <tableStyleElement type="secondRowStripe" dxfId="157"/>
    </tableStyle>
    <tableStyle name="Alt 5 Mgmt-style 3" pivot="0" count="2" xr9:uid="{00000000-0011-0000-FFFF-FFFF12000000}">
      <tableStyleElement type="firstRowStripe" dxfId="156"/>
      <tableStyleElement type="secondRowStripe" dxfId="1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Net Cashflow</a:t>
            </a:r>
          </a:p>
        </c:rich>
      </c:tx>
      <c:overlay val="0"/>
      <c:spPr>
        <a:noFill/>
        <a:ln>
          <a:noFill/>
        </a:ln>
        <a:effectLst/>
      </c:spPr>
    </c:title>
    <c:autoTitleDeleted val="0"/>
    <c:plotArea>
      <c:layout/>
      <c:lineChart>
        <c:grouping val="standard"/>
        <c:varyColors val="1"/>
        <c:ser>
          <c:idx val="0"/>
          <c:order val="0"/>
          <c:tx>
            <c:strRef>
              <c:f>Calculations!$B$13</c:f>
              <c:strCache>
                <c:ptCount val="1"/>
                <c:pt idx="0">
                  <c:v>Status Quo</c:v>
                </c:pt>
              </c:strCache>
            </c:strRef>
          </c:tx>
          <c:spPr>
            <a:ln w="22225" cap="rnd" cmpd="sng" algn="ctr">
              <a:solidFill>
                <a:schemeClr val="accent1"/>
              </a:solidFill>
              <a:round/>
            </a:ln>
            <a:effectLst/>
          </c:spPr>
          <c:marker>
            <c:symbol val="none"/>
          </c:marker>
          <c:cat>
            <c:strRef>
              <c:f>Calculations!$A$14:$A$44</c:f>
              <c:strCache>
                <c:ptCount val="11"/>
                <c:pt idx="0">
                  <c:v>Year</c:v>
                </c:pt>
                <c:pt idx="1">
                  <c:v>1</c:v>
                </c:pt>
                <c:pt idx="2">
                  <c:v>2</c:v>
                </c:pt>
                <c:pt idx="3">
                  <c:v>3</c:v>
                </c:pt>
                <c:pt idx="4">
                  <c:v>4</c:v>
                </c:pt>
                <c:pt idx="5">
                  <c:v>5</c:v>
                </c:pt>
                <c:pt idx="6">
                  <c:v>6</c:v>
                </c:pt>
                <c:pt idx="7">
                  <c:v>7</c:v>
                </c:pt>
                <c:pt idx="8">
                  <c:v>8</c:v>
                </c:pt>
                <c:pt idx="9">
                  <c:v>9</c:v>
                </c:pt>
                <c:pt idx="10">
                  <c:v>10</c:v>
                </c:pt>
              </c:strCache>
            </c:strRef>
          </c:cat>
          <c:val>
            <c:numRef>
              <c:f>Calculations!$B$14:$B$44</c:f>
              <c:numCache>
                <c:formatCode>_("$"* #,##0.00_);_("$"* \(#,##0.00\);_("$"* "-"??_);_(@_)</c:formatCode>
                <c:ptCount val="31"/>
                <c:pt idx="0" formatCode="General">
                  <c:v>0</c:v>
                </c:pt>
                <c:pt idx="1">
                  <c:v>24124</c:v>
                </c:pt>
                <c:pt idx="2">
                  <c:v>24847.72</c:v>
                </c:pt>
                <c:pt idx="3">
                  <c:v>25593.151599999997</c:v>
                </c:pt>
                <c:pt idx="4">
                  <c:v>26360.946147999999</c:v>
                </c:pt>
                <c:pt idx="5">
                  <c:v>27151.774532439998</c:v>
                </c:pt>
                <c:pt idx="6">
                  <c:v>27966.327768413197</c:v>
                </c:pt>
                <c:pt idx="7">
                  <c:v>28805.317601465591</c:v>
                </c:pt>
                <c:pt idx="8">
                  <c:v>29669.477129509563</c:v>
                </c:pt>
                <c:pt idx="9">
                  <c:v>30559.561443394847</c:v>
                </c:pt>
                <c:pt idx="10">
                  <c:v>31476.348286696692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DEE8-4199-A3D7-409D55EAE1F7}"/>
            </c:ext>
          </c:extLst>
        </c:ser>
        <c:ser>
          <c:idx val="1"/>
          <c:order val="1"/>
          <c:tx>
            <c:strRef>
              <c:f>Calculations!$C$13</c:f>
              <c:strCache>
                <c:ptCount val="1"/>
                <c:pt idx="0">
                  <c:v>Alt 1</c:v>
                </c:pt>
              </c:strCache>
            </c:strRef>
          </c:tx>
          <c:spPr>
            <a:ln w="22225" cap="rnd" cmpd="sng" algn="ctr">
              <a:solidFill>
                <a:schemeClr val="accent2"/>
              </a:solidFill>
              <a:round/>
            </a:ln>
            <a:effectLst/>
          </c:spPr>
          <c:marker>
            <c:symbol val="none"/>
          </c:marker>
          <c:cat>
            <c:strRef>
              <c:f>Calculations!$A$14:$A$44</c:f>
              <c:strCache>
                <c:ptCount val="11"/>
                <c:pt idx="0">
                  <c:v>Year</c:v>
                </c:pt>
                <c:pt idx="1">
                  <c:v>1</c:v>
                </c:pt>
                <c:pt idx="2">
                  <c:v>2</c:v>
                </c:pt>
                <c:pt idx="3">
                  <c:v>3</c:v>
                </c:pt>
                <c:pt idx="4">
                  <c:v>4</c:v>
                </c:pt>
                <c:pt idx="5">
                  <c:v>5</c:v>
                </c:pt>
                <c:pt idx="6">
                  <c:v>6</c:v>
                </c:pt>
                <c:pt idx="7">
                  <c:v>7</c:v>
                </c:pt>
                <c:pt idx="8">
                  <c:v>8</c:v>
                </c:pt>
                <c:pt idx="9">
                  <c:v>9</c:v>
                </c:pt>
                <c:pt idx="10">
                  <c:v>10</c:v>
                </c:pt>
              </c:strCache>
            </c:strRef>
          </c:cat>
          <c:val>
            <c:numRef>
              <c:f>Calculations!$C$14:$C$44</c:f>
              <c:numCache>
                <c:formatCode>_("$"* #,##0.00_);_("$"* \(#,##0.00\);_("$"* "-"??_);_(@_)</c:formatCode>
                <c:ptCount val="31"/>
                <c:pt idx="0" formatCode="General">
                  <c:v>0</c:v>
                </c:pt>
                <c:pt idx="1">
                  <c:v>24624</c:v>
                </c:pt>
                <c:pt idx="2">
                  <c:v>26392.720000000001</c:v>
                </c:pt>
                <c:pt idx="3">
                  <c:v>28243.2798</c:v>
                </c:pt>
                <c:pt idx="4">
                  <c:v>23329.721450000001</c:v>
                </c:pt>
                <c:pt idx="5">
                  <c:v>20922.083269089999</c:v>
                </c:pt>
                <c:pt idx="6">
                  <c:v>17762.397366424597</c:v>
                </c:pt>
                <c:pt idx="7">
                  <c:v>15894.030119097519</c:v>
                </c:pt>
                <c:pt idx="8">
                  <c:v>13281.407872723172</c:v>
                </c:pt>
                <c:pt idx="9">
                  <c:v>11575.745003720034</c:v>
                </c:pt>
                <c:pt idx="10">
                  <c:v>11712.948871235127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DEE8-4199-A3D7-409D55EAE1F7}"/>
            </c:ext>
          </c:extLst>
        </c:ser>
        <c:ser>
          <c:idx val="2"/>
          <c:order val="2"/>
          <c:tx>
            <c:strRef>
              <c:f>Calculations!$E$13</c:f>
              <c:strCache>
                <c:ptCount val="1"/>
                <c:pt idx="0">
                  <c:v>Alt 2</c:v>
                </c:pt>
              </c:strCache>
            </c:strRef>
          </c:tx>
          <c:spPr>
            <a:ln w="22225" cap="rnd" cmpd="sng" algn="ctr">
              <a:solidFill>
                <a:schemeClr val="accent3"/>
              </a:solidFill>
              <a:round/>
            </a:ln>
            <a:effectLst/>
          </c:spPr>
          <c:marker>
            <c:symbol val="none"/>
          </c:marker>
          <c:cat>
            <c:strRef>
              <c:f>Calculations!$A$14:$A$44</c:f>
              <c:strCache>
                <c:ptCount val="11"/>
                <c:pt idx="0">
                  <c:v>Year</c:v>
                </c:pt>
                <c:pt idx="1">
                  <c:v>1</c:v>
                </c:pt>
                <c:pt idx="2">
                  <c:v>2</c:v>
                </c:pt>
                <c:pt idx="3">
                  <c:v>3</c:v>
                </c:pt>
                <c:pt idx="4">
                  <c:v>4</c:v>
                </c:pt>
                <c:pt idx="5">
                  <c:v>5</c:v>
                </c:pt>
                <c:pt idx="6">
                  <c:v>6</c:v>
                </c:pt>
                <c:pt idx="7">
                  <c:v>7</c:v>
                </c:pt>
                <c:pt idx="8">
                  <c:v>8</c:v>
                </c:pt>
                <c:pt idx="9">
                  <c:v>9</c:v>
                </c:pt>
                <c:pt idx="10">
                  <c:v>10</c:v>
                </c:pt>
              </c:strCache>
            </c:strRef>
          </c:cat>
          <c:val>
            <c:numRef>
              <c:f>Calculations!$E$14:$E$44</c:f>
              <c:numCache>
                <c:formatCode>_("$"* #,##0.00_);_("$"* \(#,##0.00\);_("$"* "-"??_);_(@_)</c:formatCode>
                <c:ptCount val="31"/>
                <c:pt idx="0" formatCode="General">
                  <c:v>0</c:v>
                </c:pt>
                <c:pt idx="1">
                  <c:v>24124</c:v>
                </c:pt>
                <c:pt idx="2">
                  <c:v>25877.72</c:v>
                </c:pt>
                <c:pt idx="3">
                  <c:v>27712.8298</c:v>
                </c:pt>
                <c:pt idx="4">
                  <c:v>23056.539700000001</c:v>
                </c:pt>
                <c:pt idx="5">
                  <c:v>20640.706066589999</c:v>
                </c:pt>
                <c:pt idx="6">
                  <c:v>17762.397366424597</c:v>
                </c:pt>
                <c:pt idx="7">
                  <c:v>15894.030119097519</c:v>
                </c:pt>
                <c:pt idx="8">
                  <c:v>13281.407872723172</c:v>
                </c:pt>
                <c:pt idx="9">
                  <c:v>11575.745003720034</c:v>
                </c:pt>
                <c:pt idx="10">
                  <c:v>11712.948871235127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DEE8-4199-A3D7-409D55EAE1F7}"/>
            </c:ext>
          </c:extLst>
        </c:ser>
        <c:ser>
          <c:idx val="3"/>
          <c:order val="3"/>
          <c:tx>
            <c:strRef>
              <c:f>Calculations!$G$13</c:f>
              <c:strCache>
                <c:ptCount val="1"/>
                <c:pt idx="0">
                  <c:v>Alt 3</c:v>
                </c:pt>
              </c:strCache>
            </c:strRef>
          </c:tx>
          <c:spPr>
            <a:ln w="22225" cap="rnd" cmpd="sng" algn="ctr">
              <a:solidFill>
                <a:schemeClr val="accent4"/>
              </a:solidFill>
              <a:round/>
            </a:ln>
            <a:effectLst/>
          </c:spPr>
          <c:marker>
            <c:symbol val="none"/>
          </c:marker>
          <c:cat>
            <c:strRef>
              <c:f>Calculations!$A$14:$A$44</c:f>
              <c:strCache>
                <c:ptCount val="11"/>
                <c:pt idx="0">
                  <c:v>Year</c:v>
                </c:pt>
                <c:pt idx="1">
                  <c:v>1</c:v>
                </c:pt>
                <c:pt idx="2">
                  <c:v>2</c:v>
                </c:pt>
                <c:pt idx="3">
                  <c:v>3</c:v>
                </c:pt>
                <c:pt idx="4">
                  <c:v>4</c:v>
                </c:pt>
                <c:pt idx="5">
                  <c:v>5</c:v>
                </c:pt>
                <c:pt idx="6">
                  <c:v>6</c:v>
                </c:pt>
                <c:pt idx="7">
                  <c:v>7</c:v>
                </c:pt>
                <c:pt idx="8">
                  <c:v>8</c:v>
                </c:pt>
                <c:pt idx="9">
                  <c:v>9</c:v>
                </c:pt>
                <c:pt idx="10">
                  <c:v>10</c:v>
                </c:pt>
              </c:strCache>
            </c:strRef>
          </c:cat>
          <c:val>
            <c:numRef>
              <c:f>Calculations!$G$14:$G$44</c:f>
              <c:numCache>
                <c:formatCode>_("$"* #,##0.00_);_("$"* \(#,##0.00\);_("$"* "-"??_);_(@_)</c:formatCode>
                <c:ptCount val="31"/>
                <c:pt idx="0" formatCode="General">
                  <c:v>0</c:v>
                </c:pt>
                <c:pt idx="1">
                  <c:v>24124</c:v>
                </c:pt>
                <c:pt idx="2">
                  <c:v>25877.72</c:v>
                </c:pt>
                <c:pt idx="3">
                  <c:v>27712.8298</c:v>
                </c:pt>
                <c:pt idx="4">
                  <c:v>27427.447700000001</c:v>
                </c:pt>
                <c:pt idx="5">
                  <c:v>25142.74130659</c:v>
                </c:pt>
                <c:pt idx="6">
                  <c:v>22399.493663624598</c:v>
                </c:pt>
                <c:pt idx="7">
                  <c:v>20682.179828178807</c:v>
                </c:pt>
                <c:pt idx="8">
                  <c:v>21301.415349158749</c:v>
                </c:pt>
                <c:pt idx="9">
                  <c:v>21939.191039552119</c:v>
                </c:pt>
                <c:pt idx="10">
                  <c:v>22597.366770738685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3-DEE8-4199-A3D7-409D55EAE1F7}"/>
            </c:ext>
          </c:extLst>
        </c:ser>
        <c:ser>
          <c:idx val="4"/>
          <c:order val="4"/>
          <c:tx>
            <c:strRef>
              <c:f>Calculations!$I$13</c:f>
              <c:strCache>
                <c:ptCount val="1"/>
                <c:pt idx="0">
                  <c:v>Alt 4</c:v>
                </c:pt>
              </c:strCache>
            </c:strRef>
          </c:tx>
          <c:spPr>
            <a:ln w="22225" cap="rnd" cmpd="sng" algn="ctr">
              <a:solidFill>
                <a:schemeClr val="accent5"/>
              </a:solidFill>
              <a:round/>
            </a:ln>
            <a:effectLst/>
          </c:spPr>
          <c:marker>
            <c:symbol val="none"/>
          </c:marker>
          <c:cat>
            <c:strRef>
              <c:f>Calculations!$A$14:$A$44</c:f>
              <c:strCache>
                <c:ptCount val="11"/>
                <c:pt idx="0">
                  <c:v>Year</c:v>
                </c:pt>
                <c:pt idx="1">
                  <c:v>1</c:v>
                </c:pt>
                <c:pt idx="2">
                  <c:v>2</c:v>
                </c:pt>
                <c:pt idx="3">
                  <c:v>3</c:v>
                </c:pt>
                <c:pt idx="4">
                  <c:v>4</c:v>
                </c:pt>
                <c:pt idx="5">
                  <c:v>5</c:v>
                </c:pt>
                <c:pt idx="6">
                  <c:v>6</c:v>
                </c:pt>
                <c:pt idx="7">
                  <c:v>7</c:v>
                </c:pt>
                <c:pt idx="8">
                  <c:v>8</c:v>
                </c:pt>
                <c:pt idx="9">
                  <c:v>9</c:v>
                </c:pt>
                <c:pt idx="10">
                  <c:v>10</c:v>
                </c:pt>
              </c:strCache>
            </c:strRef>
          </c:cat>
          <c:val>
            <c:numRef>
              <c:f>Calculations!$I$14:$I$44</c:f>
              <c:numCache>
                <c:formatCode>_("$"* #,##0.00_);_("$"* \(#,##0.00\);_("$"* "-"??_);_(@_)</c:formatCode>
                <c:ptCount val="31"/>
                <c:pt idx="0" formatCode="General">
                  <c:v>0</c:v>
                </c:pt>
                <c:pt idx="1">
                  <c:v>24124</c:v>
                </c:pt>
                <c:pt idx="2">
                  <c:v>18667.72</c:v>
                </c:pt>
                <c:pt idx="3">
                  <c:v>19227.7516</c:v>
                </c:pt>
                <c:pt idx="4">
                  <c:v>31824.581148000001</c:v>
                </c:pt>
                <c:pt idx="5">
                  <c:v>31788.870829639996</c:v>
                </c:pt>
                <c:pt idx="6">
                  <c:v>37402.818733215194</c:v>
                </c:pt>
                <c:pt idx="7">
                  <c:v>33868.099338748551</c:v>
                </c:pt>
                <c:pt idx="8">
                  <c:v>32424.394588061274</c:v>
                </c:pt>
                <c:pt idx="9">
                  <c:v>33397.1264257031</c:v>
                </c:pt>
                <c:pt idx="10">
                  <c:v>34399.040218474198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4-DEE8-4199-A3D7-409D55EAE1F7}"/>
            </c:ext>
          </c:extLst>
        </c:ser>
        <c:ser>
          <c:idx val="5"/>
          <c:order val="5"/>
          <c:tx>
            <c:strRef>
              <c:f>Calculations!$K$13</c:f>
              <c:strCache>
                <c:ptCount val="1"/>
                <c:pt idx="0">
                  <c:v>Alt 5</c:v>
                </c:pt>
              </c:strCache>
            </c:strRef>
          </c:tx>
          <c:spPr>
            <a:ln w="22225" cap="rnd" cmpd="sng" algn="ctr">
              <a:solidFill>
                <a:schemeClr val="accent6"/>
              </a:solidFill>
              <a:round/>
            </a:ln>
            <a:effectLst/>
          </c:spPr>
          <c:marker>
            <c:symbol val="none"/>
          </c:marker>
          <c:cat>
            <c:strRef>
              <c:f>Calculations!$A$14:$A$44</c:f>
              <c:strCache>
                <c:ptCount val="11"/>
                <c:pt idx="0">
                  <c:v>Year</c:v>
                </c:pt>
                <c:pt idx="1">
                  <c:v>1</c:v>
                </c:pt>
                <c:pt idx="2">
                  <c:v>2</c:v>
                </c:pt>
                <c:pt idx="3">
                  <c:v>3</c:v>
                </c:pt>
                <c:pt idx="4">
                  <c:v>4</c:v>
                </c:pt>
                <c:pt idx="5">
                  <c:v>5</c:v>
                </c:pt>
                <c:pt idx="6">
                  <c:v>6</c:v>
                </c:pt>
                <c:pt idx="7">
                  <c:v>7</c:v>
                </c:pt>
                <c:pt idx="8">
                  <c:v>8</c:v>
                </c:pt>
                <c:pt idx="9">
                  <c:v>9</c:v>
                </c:pt>
                <c:pt idx="10">
                  <c:v>10</c:v>
                </c:pt>
              </c:strCache>
            </c:strRef>
          </c:cat>
          <c:val>
            <c:numRef>
              <c:f>Calculations!$K$14:$K$44</c:f>
              <c:numCache>
                <c:formatCode>_("$"* #,##0.00_);_("$"* \(#,##0.00\);_("$"* "-"??_);_(@_)</c:formatCode>
                <c:ptCount val="31"/>
                <c:pt idx="0" formatCode="General">
                  <c:v>0</c:v>
                </c:pt>
                <c:pt idx="1">
                  <c:v>24624</c:v>
                </c:pt>
                <c:pt idx="2">
                  <c:v>0</c:v>
                </c:pt>
                <c:pt idx="3">
                  <c:v>28243.2798</c:v>
                </c:pt>
                <c:pt idx="4">
                  <c:v>0</c:v>
                </c:pt>
                <c:pt idx="5">
                  <c:v>0</c:v>
                </c:pt>
                <c:pt idx="6">
                  <c:v>29705.238879863195</c:v>
                </c:pt>
                <c:pt idx="7">
                  <c:v>0</c:v>
                </c:pt>
                <c:pt idx="8">
                  <c:v>0</c:v>
                </c:pt>
                <c:pt idx="9">
                  <c:v>33723.953106701112</c:v>
                </c:pt>
                <c:pt idx="10">
                  <c:v>0</c:v>
                </c:pt>
                <c:pt idx="11">
                  <c:v>0</c:v>
                </c:pt>
                <c:pt idx="12">
                  <c:v>20728.155339805824</c:v>
                </c:pt>
                <c:pt idx="13">
                  <c:v>0</c:v>
                </c:pt>
                <c:pt idx="14">
                  <c:v>0</c:v>
                </c:pt>
                <c:pt idx="15">
                  <c:v>18047.572815533982</c:v>
                </c:pt>
                <c:pt idx="16">
                  <c:v>0</c:v>
                </c:pt>
                <c:pt idx="17">
                  <c:v>0</c:v>
                </c:pt>
                <c:pt idx="18">
                  <c:v>14875.728155339806</c:v>
                </c:pt>
                <c:pt idx="19">
                  <c:v>0</c:v>
                </c:pt>
                <c:pt idx="20">
                  <c:v>0</c:v>
                </c:pt>
                <c:pt idx="21">
                  <c:v>12923.300970873786</c:v>
                </c:pt>
                <c:pt idx="22">
                  <c:v>0</c:v>
                </c:pt>
                <c:pt idx="23">
                  <c:v>0</c:v>
                </c:pt>
                <c:pt idx="24">
                  <c:v>10484.466019417476</c:v>
                </c:pt>
                <c:pt idx="25">
                  <c:v>0</c:v>
                </c:pt>
                <c:pt idx="26">
                  <c:v>0</c:v>
                </c:pt>
                <c:pt idx="27">
                  <c:v>8871.844660194176</c:v>
                </c:pt>
                <c:pt idx="28">
                  <c:v>0</c:v>
                </c:pt>
                <c:pt idx="29">
                  <c:v>0</c:v>
                </c:pt>
                <c:pt idx="30">
                  <c:v>8715.5339805825242</c:v>
                </c:pt>
              </c:numCache>
            </c:numRef>
          </c:val>
          <c:smooth val="0"/>
          <c:extLst>
            <c:ext xmlns:c16="http://schemas.microsoft.com/office/drawing/2014/chart" uri="{C3380CC4-5D6E-409C-BE32-E72D297353CC}">
              <c16:uniqueId val="{00000005-DEE8-4199-A3D7-409D55EAE1F7}"/>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1982162"/>
        <c:axId val="821133483"/>
      </c:lineChart>
      <c:catAx>
        <c:axId val="1331982162"/>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821133483"/>
        <c:crosses val="autoZero"/>
        <c:auto val="1"/>
        <c:lblAlgn val="ctr"/>
        <c:lblOffset val="100"/>
        <c:noMultiLvlLbl val="1"/>
      </c:catAx>
      <c:valAx>
        <c:axId val="821133483"/>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331982162"/>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zero"/>
    <c:showDLblsOverMax val="1"/>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171450</xdr:colOff>
      <xdr:row>17</xdr:row>
      <xdr:rowOff>9525</xdr:rowOff>
    </xdr:from>
    <xdr:ext cx="8724900" cy="4029075"/>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S.Q.%2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lt%20A"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lt%20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lt%20C"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lt%20D"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lt%20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Q"/>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 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 B"/>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 C"/>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 D"/>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 E"/>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N12:O41" headerRowCount="0" headerRowDxfId="154" dataDxfId="153" totalsRowDxfId="151" tableBorderDxfId="152">
  <tableColumns count="2">
    <tableColumn id="1" xr3:uid="{00000000-0010-0000-0000-000001000000}" name="Column1" dataDxfId="150"/>
    <tableColumn id="2" xr3:uid="{00000000-0010-0000-0000-000002000000}" name="Column2" dataDxfId="149"/>
  </tableColumns>
  <tableStyleInfo name="SQ Mgm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2:C41" headerRowCount="0" headerRowDxfId="148" dataDxfId="147" totalsRowDxfId="145" tableBorderDxfId="146">
  <tableColumns count="2">
    <tableColumn id="1" xr3:uid="{00000000-0010-0000-0100-000001000000}" name="Column1" dataDxfId="144"/>
    <tableColumn id="2" xr3:uid="{00000000-0010-0000-0100-000002000000}" name="Column2" dataDxfId="143"/>
  </tableColumns>
  <tableStyleInfo name="SQ Mgmt-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D12:L41" headerRowCount="0" headerRowDxfId="142" dataDxfId="141" totalsRowDxfId="139" tableBorderDxfId="140">
  <tableColumns count="9">
    <tableColumn id="1" xr3:uid="{00000000-0010-0000-0200-000001000000}" name="Column1" dataDxfId="138"/>
    <tableColumn id="2" xr3:uid="{00000000-0010-0000-0200-000002000000}" name="Column2" dataDxfId="137"/>
    <tableColumn id="3" xr3:uid="{00000000-0010-0000-0200-000003000000}" name="Column3" dataDxfId="136"/>
    <tableColumn id="4" xr3:uid="{00000000-0010-0000-0200-000004000000}" name="Column4" dataDxfId="135"/>
    <tableColumn id="5" xr3:uid="{00000000-0010-0000-0200-000005000000}" name="Column5" dataDxfId="134"/>
    <tableColumn id="6" xr3:uid="{00000000-0010-0000-0200-000006000000}" name="Column6" dataDxfId="133"/>
    <tableColumn id="7" xr3:uid="{00000000-0010-0000-0200-000007000000}" name="Column7" dataDxfId="132"/>
    <tableColumn id="8" xr3:uid="{00000000-0010-0000-0200-000008000000}" name="Column8" dataDxfId="131"/>
    <tableColumn id="9" xr3:uid="{00000000-0010-0000-0200-000009000000}" name="Column9" dataDxfId="130"/>
  </tableColumns>
  <tableStyleInfo name="SQ Mgmt-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T12:T41" headerRowCount="0" headerRowDxfId="129" dataDxfId="128" totalsRowDxfId="126" tableBorderDxfId="127">
  <tableColumns count="1">
    <tableColumn id="1" xr3:uid="{00000000-0010-0000-0300-000001000000}" name="Column1" dataDxfId="125"/>
  </tableColumns>
  <tableStyleInfo name="SQ Mgmt-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16:L45" headerRowCount="0" headerRowDxfId="124" dataDxfId="123" totalsRowDxfId="122">
  <tableColumns count="11">
    <tableColumn id="1" xr3:uid="{00000000-0010-0000-0400-000001000000}" name="Column1" dataDxfId="121"/>
    <tableColumn id="2" xr3:uid="{00000000-0010-0000-0400-000002000000}" name="Column2" dataDxfId="120"/>
    <tableColumn id="3" xr3:uid="{00000000-0010-0000-0400-000003000000}" name="Column3" dataDxfId="119"/>
    <tableColumn id="4" xr3:uid="{00000000-0010-0000-0400-000004000000}" name="Column4" dataDxfId="118"/>
    <tableColumn id="5" xr3:uid="{00000000-0010-0000-0400-000005000000}" name="Column5" dataDxfId="117"/>
    <tableColumn id="6" xr3:uid="{00000000-0010-0000-0400-000006000000}" name="Column6" dataDxfId="116"/>
    <tableColumn id="7" xr3:uid="{00000000-0010-0000-0400-000007000000}" name="Column7" dataDxfId="115"/>
    <tableColumn id="8" xr3:uid="{00000000-0010-0000-0400-000008000000}" name="Column8" dataDxfId="114"/>
    <tableColumn id="9" xr3:uid="{00000000-0010-0000-0400-000009000000}" name="Column9" dataDxfId="113"/>
    <tableColumn id="10" xr3:uid="{00000000-0010-0000-0400-00000A000000}" name="Column10" dataDxfId="112"/>
    <tableColumn id="11" xr3:uid="{00000000-0010-0000-0400-00000B000000}" name="Column11" dataDxfId="111"/>
  </tableColumns>
  <tableStyleInfo name="Alt 1 Mgmt-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N16:O45" headerRowCount="0" headerRowDxfId="110" dataDxfId="109" totalsRowDxfId="107" tableBorderDxfId="108">
  <tableColumns count="2">
    <tableColumn id="1" xr3:uid="{00000000-0010-0000-0500-000001000000}" name="Column1" dataDxfId="106"/>
    <tableColumn id="2" xr3:uid="{00000000-0010-0000-0500-000002000000}" name="Column2" dataDxfId="105"/>
  </tableColumns>
  <tableStyleInfo name="Alt 1 Mgmt-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T16:T45" headerRowCount="0" headerRowDxfId="104" dataDxfId="103" totalsRowDxfId="101" tableBorderDxfId="102">
  <tableColumns count="1">
    <tableColumn id="1" xr3:uid="{00000000-0010-0000-0600-000001000000}" name="Column1" dataDxfId="100"/>
  </tableColumns>
  <tableStyleInfo name="Alt 1 Mgmt-style 3"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B16:L45" headerRowCount="0" headerRowDxfId="99" dataDxfId="98" totalsRowDxfId="97">
  <tableColumns count="11">
    <tableColumn id="1" xr3:uid="{00000000-0010-0000-0700-000001000000}" name="Column1" dataDxfId="96"/>
    <tableColumn id="2" xr3:uid="{00000000-0010-0000-0700-000002000000}" name="Column2" dataDxfId="95"/>
    <tableColumn id="3" xr3:uid="{00000000-0010-0000-0700-000003000000}" name="Column3" dataDxfId="94"/>
    <tableColumn id="4" xr3:uid="{00000000-0010-0000-0700-000004000000}" name="Column4" dataDxfId="93"/>
    <tableColumn id="5" xr3:uid="{00000000-0010-0000-0700-000005000000}" name="Column5" dataDxfId="92"/>
    <tableColumn id="6" xr3:uid="{00000000-0010-0000-0700-000006000000}" name="Column6" dataDxfId="91"/>
    <tableColumn id="7" xr3:uid="{00000000-0010-0000-0700-000007000000}" name="Column7" dataDxfId="90"/>
    <tableColumn id="8" xr3:uid="{00000000-0010-0000-0700-000008000000}" name="Column8" dataDxfId="89"/>
    <tableColumn id="9" xr3:uid="{00000000-0010-0000-0700-000009000000}" name="Column9" dataDxfId="88"/>
    <tableColumn id="10" xr3:uid="{00000000-0010-0000-0700-00000A000000}" name="Column10" dataDxfId="87"/>
    <tableColumn id="11" xr3:uid="{00000000-0010-0000-0700-00000B000000}" name="Column11" dataDxfId="86"/>
  </tableColumns>
  <tableStyleInfo name="Alt 2 Mgmt-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T16:T45" headerRowCount="0" headerRowDxfId="85" dataDxfId="84" totalsRowDxfId="82" tableBorderDxfId="83">
  <tableColumns count="1">
    <tableColumn id="1" xr3:uid="{00000000-0010-0000-0800-000001000000}" name="Column1" dataDxfId="81"/>
  </tableColumns>
  <tableStyleInfo name="Alt 2 Mgmt-style 2"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N16:O45" headerRowCount="0" headerRowDxfId="80" dataDxfId="79" totalsRowDxfId="77" tableBorderDxfId="78">
  <tableColumns count="2">
    <tableColumn id="1" xr3:uid="{00000000-0010-0000-0900-000001000000}" name="Column1" dataDxfId="76"/>
    <tableColumn id="2" xr3:uid="{00000000-0010-0000-0900-000002000000}" name="Column2" dataDxfId="75"/>
  </tableColumns>
  <tableStyleInfo name="Alt 2 Mgmt-style 3"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T16:T45" headerRowCount="0" headerRowDxfId="74" dataDxfId="73" totalsRowDxfId="71" tableBorderDxfId="72">
  <tableColumns count="1">
    <tableColumn id="1" xr3:uid="{00000000-0010-0000-0A00-000001000000}" name="Column1" dataDxfId="70"/>
  </tableColumns>
  <tableStyleInfo name="Alt 3 Mgmt-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N16:O45" headerRowCount="0" headerRowDxfId="69" dataDxfId="68" totalsRowDxfId="66" tableBorderDxfId="67">
  <tableColumns count="2">
    <tableColumn id="1" xr3:uid="{00000000-0010-0000-0B00-000001000000}" name="Column1" dataDxfId="65"/>
    <tableColumn id="2" xr3:uid="{00000000-0010-0000-0B00-000002000000}" name="Column2" dataDxfId="64"/>
  </tableColumns>
  <tableStyleInfo name="Alt 3 Mgmt-style 2"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B16:L45" headerRowCount="0" headerRowDxfId="63" dataDxfId="62" totalsRowDxfId="61">
  <tableColumns count="11">
    <tableColumn id="1" xr3:uid="{00000000-0010-0000-0C00-000001000000}" name="Column1" dataDxfId="60"/>
    <tableColumn id="2" xr3:uid="{00000000-0010-0000-0C00-000002000000}" name="Column2" dataDxfId="59"/>
    <tableColumn id="3" xr3:uid="{00000000-0010-0000-0C00-000003000000}" name="Column3" dataDxfId="58"/>
    <tableColumn id="4" xr3:uid="{00000000-0010-0000-0C00-000004000000}" name="Column4" dataDxfId="57"/>
    <tableColumn id="5" xr3:uid="{00000000-0010-0000-0C00-000005000000}" name="Column5" dataDxfId="56"/>
    <tableColumn id="6" xr3:uid="{00000000-0010-0000-0C00-000006000000}" name="Column6" dataDxfId="55"/>
    <tableColumn id="7" xr3:uid="{00000000-0010-0000-0C00-000007000000}" name="Column7" dataDxfId="54"/>
    <tableColumn id="8" xr3:uid="{00000000-0010-0000-0C00-000008000000}" name="Column8" dataDxfId="53"/>
    <tableColumn id="9" xr3:uid="{00000000-0010-0000-0C00-000009000000}" name="Column9" dataDxfId="52"/>
    <tableColumn id="10" xr3:uid="{00000000-0010-0000-0C00-00000A000000}" name="Column10" dataDxfId="51"/>
    <tableColumn id="11" xr3:uid="{00000000-0010-0000-0C00-00000B000000}" name="Column11" dataDxfId="50"/>
  </tableColumns>
  <tableStyleInfo name="Alt 3 Mgmt-style 3"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N16:O45" headerRowCount="0" headerRowDxfId="49" dataDxfId="48" totalsRowDxfId="46" tableBorderDxfId="47">
  <tableColumns count="2">
    <tableColumn id="1" xr3:uid="{00000000-0010-0000-0D00-000001000000}" name="Column1" dataDxfId="45"/>
    <tableColumn id="2" xr3:uid="{00000000-0010-0000-0D00-000002000000}" name="Column2" dataDxfId="44"/>
  </tableColumns>
  <tableStyleInfo name="Alt 4 Mgmt-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B16:L45" headerRowCount="0" headerRowDxfId="43" dataDxfId="42" totalsRowDxfId="41">
  <tableColumns count="11">
    <tableColumn id="1" xr3:uid="{00000000-0010-0000-0E00-000001000000}" name="Column1" dataDxfId="40"/>
    <tableColumn id="2" xr3:uid="{00000000-0010-0000-0E00-000002000000}" name="Column2" dataDxfId="39"/>
    <tableColumn id="3" xr3:uid="{00000000-0010-0000-0E00-000003000000}" name="Column3" dataDxfId="38"/>
    <tableColumn id="4" xr3:uid="{00000000-0010-0000-0E00-000004000000}" name="Column4" dataDxfId="37"/>
    <tableColumn id="5" xr3:uid="{00000000-0010-0000-0E00-000005000000}" name="Column5" dataDxfId="36"/>
    <tableColumn id="6" xr3:uid="{00000000-0010-0000-0E00-000006000000}" name="Column6" dataDxfId="35"/>
    <tableColumn id="7" xr3:uid="{00000000-0010-0000-0E00-000007000000}" name="Column7" dataDxfId="34"/>
    <tableColumn id="8" xr3:uid="{00000000-0010-0000-0E00-000008000000}" name="Column8" dataDxfId="33"/>
    <tableColumn id="9" xr3:uid="{00000000-0010-0000-0E00-000009000000}" name="Column9" dataDxfId="32"/>
    <tableColumn id="10" xr3:uid="{00000000-0010-0000-0E00-00000A000000}" name="Column10" dataDxfId="31"/>
    <tableColumn id="11" xr3:uid="{00000000-0010-0000-0E00-00000B000000}" name="Column11" dataDxfId="30"/>
  </tableColumns>
  <tableStyleInfo name="Alt 4 Mgmt-style 2"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T16:T45" headerRowCount="0" headerRowDxfId="29" dataDxfId="28" totalsRowDxfId="26" tableBorderDxfId="27">
  <tableColumns count="1">
    <tableColumn id="1" xr3:uid="{00000000-0010-0000-0F00-000001000000}" name="Column1" dataDxfId="25"/>
  </tableColumns>
  <tableStyleInfo name="Alt 4 Mgmt-style 3"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T16:T45" headerRowCount="0" headerRowDxfId="24" dataDxfId="23" totalsRowDxfId="21" tableBorderDxfId="22">
  <tableColumns count="1">
    <tableColumn id="1" xr3:uid="{00000000-0010-0000-1000-000001000000}" name="Column1" dataDxfId="20"/>
  </tableColumns>
  <tableStyleInfo name="Alt 5 Mgmt-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B16:L45" headerRowCount="0" headerRowDxfId="19" dataDxfId="18" totalsRowDxfId="17">
  <tableColumns count="11">
    <tableColumn id="1" xr3:uid="{00000000-0010-0000-1100-000001000000}" name="Column1" dataDxfId="16"/>
    <tableColumn id="2" xr3:uid="{00000000-0010-0000-1100-000002000000}" name="Column2" dataDxfId="15"/>
    <tableColumn id="3" xr3:uid="{00000000-0010-0000-1100-000003000000}" name="Column3" dataDxfId="14"/>
    <tableColumn id="4" xr3:uid="{00000000-0010-0000-1100-000004000000}" name="Column4" dataDxfId="13"/>
    <tableColumn id="5" xr3:uid="{00000000-0010-0000-1100-000005000000}" name="Column5" dataDxfId="12"/>
    <tableColumn id="6" xr3:uid="{00000000-0010-0000-1100-000006000000}" name="Column6" dataDxfId="11"/>
    <tableColumn id="7" xr3:uid="{00000000-0010-0000-1100-000007000000}" name="Column7" dataDxfId="10"/>
    <tableColumn id="8" xr3:uid="{00000000-0010-0000-1100-000008000000}" name="Column8" dataDxfId="9"/>
    <tableColumn id="9" xr3:uid="{00000000-0010-0000-1100-000009000000}" name="Column9" dataDxfId="8"/>
    <tableColumn id="10" xr3:uid="{00000000-0010-0000-1100-00000A000000}" name="Column10" dataDxfId="7"/>
    <tableColumn id="11" xr3:uid="{00000000-0010-0000-1100-00000B000000}" name="Column11" dataDxfId="6"/>
  </tableColumns>
  <tableStyleInfo name="Alt 5 Mgmt-style 2"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N16:O45" headerRowCount="0" headerRowDxfId="5" dataDxfId="4" totalsRowDxfId="2" tableBorderDxfId="3">
  <tableColumns count="2">
    <tableColumn id="1" xr3:uid="{00000000-0010-0000-1200-000001000000}" name="Column1" dataDxfId="1"/>
    <tableColumn id="2" xr3:uid="{00000000-0010-0000-1200-000002000000}" name="Column2" dataDxfId="0"/>
  </tableColumns>
  <tableStyleInfo name="Alt 5 Mgmt-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73763"/>
  </sheetPr>
  <dimension ref="A1:F20"/>
  <sheetViews>
    <sheetView showGridLines="0" showRowColHeaders="0" workbookViewId="0"/>
  </sheetViews>
  <sheetFormatPr defaultColWidth="14.44140625" defaultRowHeight="15" customHeight="1" x14ac:dyDescent="0.25"/>
  <cols>
    <col min="1" max="1" width="45.5546875" customWidth="1"/>
    <col min="2" max="2" width="81.88671875" customWidth="1"/>
    <col min="3" max="6" width="9.109375" customWidth="1"/>
  </cols>
  <sheetData>
    <row r="1" spans="1:6" ht="18" x14ac:dyDescent="0.35">
      <c r="A1" s="1" t="s">
        <v>102</v>
      </c>
      <c r="B1" s="2"/>
      <c r="C1" s="3"/>
      <c r="D1" s="3"/>
      <c r="E1" s="3"/>
      <c r="F1" s="3"/>
    </row>
    <row r="2" spans="1:6" ht="12.75" customHeight="1" x14ac:dyDescent="0.25">
      <c r="A2" s="2" t="s">
        <v>110</v>
      </c>
      <c r="B2" s="2"/>
      <c r="C2" s="3"/>
      <c r="D2" s="3"/>
      <c r="E2" s="3"/>
      <c r="F2" s="3"/>
    </row>
    <row r="3" spans="1:6" ht="13.8" x14ac:dyDescent="0.25">
      <c r="A3" s="4" t="s">
        <v>0</v>
      </c>
      <c r="C3" s="3"/>
      <c r="D3" s="3"/>
      <c r="E3" s="3"/>
      <c r="F3" s="3"/>
    </row>
    <row r="4" spans="1:6" ht="26.25" customHeight="1" x14ac:dyDescent="0.25">
      <c r="A4" s="5" t="s">
        <v>1</v>
      </c>
      <c r="B4" s="5" t="s">
        <v>2</v>
      </c>
      <c r="C4" s="3"/>
      <c r="D4" s="3"/>
      <c r="E4" s="3"/>
      <c r="F4" s="3"/>
    </row>
    <row r="5" spans="1:6" ht="69" x14ac:dyDescent="0.25">
      <c r="A5" s="6" t="s">
        <v>3</v>
      </c>
      <c r="B5" s="6" t="s">
        <v>4</v>
      </c>
      <c r="C5" s="3"/>
      <c r="D5" s="3"/>
      <c r="E5" s="3"/>
      <c r="F5" s="3"/>
    </row>
    <row r="6" spans="1:6" ht="55.2" x14ac:dyDescent="0.25">
      <c r="A6" s="6" t="s">
        <v>5</v>
      </c>
      <c r="B6" s="6" t="s">
        <v>103</v>
      </c>
      <c r="C6" s="3"/>
      <c r="D6" s="3"/>
      <c r="E6" s="3"/>
      <c r="F6" s="3"/>
    </row>
    <row r="7" spans="1:6" ht="41.4" x14ac:dyDescent="0.25">
      <c r="A7" s="6" t="s">
        <v>6</v>
      </c>
      <c r="B7" s="6" t="s">
        <v>105</v>
      </c>
      <c r="C7" s="3"/>
      <c r="D7" s="3"/>
      <c r="E7" s="3"/>
      <c r="F7" s="3"/>
    </row>
    <row r="8" spans="1:6" ht="13.8" x14ac:dyDescent="0.25">
      <c r="A8" s="6" t="s">
        <v>7</v>
      </c>
      <c r="B8" s="6" t="s">
        <v>104</v>
      </c>
      <c r="C8" s="3"/>
      <c r="D8" s="3"/>
      <c r="E8" s="3"/>
      <c r="F8" s="3"/>
    </row>
    <row r="9" spans="1:6" ht="13.8" x14ac:dyDescent="0.25">
      <c r="A9" s="3"/>
      <c r="B9" s="7"/>
      <c r="C9" s="3"/>
      <c r="D9" s="3"/>
      <c r="E9" s="3"/>
      <c r="F9" s="3"/>
    </row>
    <row r="10" spans="1:6" ht="13.2" x14ac:dyDescent="0.25">
      <c r="A10" s="268" t="s">
        <v>8</v>
      </c>
      <c r="B10" s="269"/>
      <c r="C10" s="3"/>
      <c r="D10" s="3"/>
      <c r="E10" s="3"/>
      <c r="F10" s="3"/>
    </row>
    <row r="11" spans="1:6" ht="28.8" x14ac:dyDescent="0.3">
      <c r="A11" s="6" t="s">
        <v>9</v>
      </c>
      <c r="B11" s="8" t="s">
        <v>106</v>
      </c>
      <c r="C11" s="3"/>
      <c r="D11" s="3"/>
      <c r="E11" s="3"/>
      <c r="F11" s="3"/>
    </row>
    <row r="12" spans="1:6" ht="13.8" x14ac:dyDescent="0.25">
      <c r="A12" s="6" t="s">
        <v>10</v>
      </c>
      <c r="B12" s="6" t="s">
        <v>11</v>
      </c>
      <c r="C12" s="3"/>
      <c r="D12" s="3"/>
      <c r="E12" s="3"/>
      <c r="F12" s="3"/>
    </row>
    <row r="13" spans="1:6" ht="43.2" x14ac:dyDescent="0.25">
      <c r="A13" s="6" t="s">
        <v>12</v>
      </c>
      <c r="B13" s="9" t="s">
        <v>108</v>
      </c>
      <c r="C13" s="3"/>
      <c r="D13" s="3"/>
      <c r="E13" s="3"/>
      <c r="F13" s="3"/>
    </row>
    <row r="14" spans="1:6" ht="14.4" x14ac:dyDescent="0.3">
      <c r="A14" s="6" t="s">
        <v>107</v>
      </c>
      <c r="B14" s="267" t="s">
        <v>109</v>
      </c>
      <c r="C14" s="3"/>
      <c r="D14" s="3"/>
      <c r="E14" s="3"/>
      <c r="F14" s="3"/>
    </row>
    <row r="15" spans="1:6" ht="12.75" customHeight="1" x14ac:dyDescent="0.25">
      <c r="A15" s="3"/>
      <c r="B15" s="3"/>
      <c r="C15" s="3"/>
      <c r="D15" s="3"/>
      <c r="E15" s="3"/>
      <c r="F15" s="3"/>
    </row>
    <row r="16" spans="1:6" ht="12.75" customHeight="1" x14ac:dyDescent="0.25">
      <c r="A16" s="3"/>
      <c r="B16" s="3"/>
      <c r="C16" s="3"/>
      <c r="D16" s="3"/>
      <c r="E16" s="3"/>
      <c r="F16" s="3"/>
    </row>
    <row r="17" spans="1:6" ht="12.75" customHeight="1" x14ac:dyDescent="0.25">
      <c r="A17" s="3"/>
      <c r="B17" s="3"/>
      <c r="C17" s="3"/>
      <c r="D17" s="3"/>
      <c r="E17" s="3"/>
      <c r="F17" s="3"/>
    </row>
    <row r="18" spans="1:6" ht="12.75" customHeight="1" x14ac:dyDescent="0.25">
      <c r="A18" s="3"/>
      <c r="B18" s="3"/>
      <c r="C18" s="3"/>
      <c r="D18" s="3"/>
      <c r="E18" s="3"/>
      <c r="F18" s="3"/>
    </row>
    <row r="19" spans="1:6" ht="12.75" customHeight="1" x14ac:dyDescent="0.25">
      <c r="A19" s="3"/>
      <c r="B19" s="3"/>
      <c r="C19" s="3"/>
      <c r="D19" s="3"/>
      <c r="E19" s="3"/>
      <c r="F19" s="3"/>
    </row>
    <row r="20" spans="1:6" ht="12.75" customHeight="1" x14ac:dyDescent="0.25">
      <c r="A20" s="3"/>
      <c r="B20" s="3"/>
      <c r="C20" s="3"/>
      <c r="D20" s="3"/>
      <c r="E20" s="3"/>
      <c r="F20" s="3"/>
    </row>
  </sheetData>
  <mergeCells count="1">
    <mergeCell ref="A10:B10"/>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A84F"/>
  </sheetPr>
  <dimension ref="A1:N39"/>
  <sheetViews>
    <sheetView showGridLines="0" showRowColHeaders="0" zoomScale="90" zoomScaleNormal="90" workbookViewId="0">
      <selection activeCell="G10" sqref="G10"/>
    </sheetView>
  </sheetViews>
  <sheetFormatPr defaultColWidth="14.44140625" defaultRowHeight="15" customHeight="1" x14ac:dyDescent="0.25"/>
  <cols>
    <col min="1" max="1" width="3.5546875" customWidth="1"/>
    <col min="2" max="2" width="15" customWidth="1"/>
    <col min="3" max="3" width="9.5546875" customWidth="1"/>
    <col min="4" max="4" width="8.109375" customWidth="1"/>
    <col min="5" max="6" width="9.33203125" customWidth="1"/>
    <col min="7" max="9" width="17.33203125" customWidth="1"/>
    <col min="10" max="12" width="9.44140625" customWidth="1"/>
    <col min="13" max="13" width="9.33203125" customWidth="1"/>
    <col min="14" max="14" width="8.6640625" customWidth="1"/>
  </cols>
  <sheetData>
    <row r="1" spans="1:14" ht="13.2" x14ac:dyDescent="0.25">
      <c r="A1" s="276"/>
      <c r="B1" s="277"/>
      <c r="C1" s="277"/>
      <c r="D1" s="277"/>
      <c r="E1" s="277"/>
      <c r="F1" s="277"/>
      <c r="G1" s="277"/>
      <c r="H1" s="277"/>
      <c r="I1" s="277"/>
      <c r="J1" s="277"/>
      <c r="K1" s="277"/>
      <c r="L1" s="10"/>
      <c r="M1" s="10"/>
      <c r="N1" s="11"/>
    </row>
    <row r="2" spans="1:14" ht="15.6" x14ac:dyDescent="0.25">
      <c r="A2" s="278" t="s">
        <v>13</v>
      </c>
      <c r="B2" s="279"/>
      <c r="C2" s="279"/>
      <c r="D2" s="279"/>
      <c r="E2" s="279"/>
      <c r="F2" s="279"/>
      <c r="G2" s="279"/>
      <c r="H2" s="279"/>
      <c r="I2" s="279"/>
      <c r="J2" s="279"/>
      <c r="K2" s="279"/>
      <c r="L2" s="280"/>
      <c r="M2" s="10"/>
      <c r="N2" s="11"/>
    </row>
    <row r="3" spans="1:14" ht="13.2" x14ac:dyDescent="0.25">
      <c r="A3" s="281"/>
      <c r="B3" s="277"/>
      <c r="C3" s="277"/>
      <c r="D3" s="277"/>
      <c r="E3" s="277"/>
      <c r="F3" s="277"/>
      <c r="G3" s="277"/>
      <c r="H3" s="277"/>
      <c r="I3" s="277"/>
      <c r="J3" s="277"/>
      <c r="K3" s="277"/>
      <c r="L3" s="12"/>
      <c r="M3" s="12"/>
      <c r="N3" s="11"/>
    </row>
    <row r="4" spans="1:14" ht="13.2" x14ac:dyDescent="0.25">
      <c r="A4" s="13"/>
      <c r="B4" s="14" t="s">
        <v>14</v>
      </c>
      <c r="C4" s="237">
        <v>0.1</v>
      </c>
      <c r="D4" s="15"/>
      <c r="E4" s="16" t="s">
        <v>15</v>
      </c>
      <c r="F4" s="239">
        <v>10</v>
      </c>
      <c r="G4" s="17"/>
      <c r="H4" s="11"/>
      <c r="I4" s="13"/>
      <c r="J4" s="18"/>
      <c r="K4" s="13"/>
      <c r="L4" s="13"/>
      <c r="M4" s="13"/>
      <c r="N4" s="11"/>
    </row>
    <row r="5" spans="1:14" ht="15.6" x14ac:dyDescent="0.25">
      <c r="A5" s="19"/>
      <c r="B5" s="20" t="s">
        <v>16</v>
      </c>
      <c r="C5" s="238">
        <v>0.03</v>
      </c>
      <c r="D5" s="21"/>
      <c r="E5" s="22"/>
      <c r="F5" s="23"/>
      <c r="G5" s="13"/>
      <c r="H5" s="13"/>
      <c r="I5" s="13"/>
      <c r="J5" s="13"/>
      <c r="K5" s="11"/>
      <c r="L5" s="11"/>
      <c r="M5" s="11"/>
      <c r="N5" s="11"/>
    </row>
    <row r="6" spans="1:14" ht="13.2" x14ac:dyDescent="0.25">
      <c r="A6" s="24"/>
      <c r="B6" s="24"/>
      <c r="C6" s="24"/>
      <c r="D6" s="24"/>
      <c r="E6" s="24"/>
      <c r="F6" s="24"/>
      <c r="G6" s="25"/>
      <c r="H6" s="26"/>
      <c r="I6" s="26"/>
      <c r="J6" s="26"/>
      <c r="K6" s="26"/>
      <c r="L6" s="26"/>
      <c r="M6" s="26"/>
      <c r="N6" s="27"/>
    </row>
    <row r="7" spans="1:14" ht="39.6" x14ac:dyDescent="0.25">
      <c r="A7" s="24"/>
      <c r="B7" s="24"/>
      <c r="C7" s="24"/>
      <c r="D7" s="24"/>
      <c r="E7" s="24"/>
      <c r="F7" s="24"/>
      <c r="G7" s="204" t="str">
        <f>SP&amp;" Year Total Costs NPV (thousands)"</f>
        <v>10 Year Total Costs NPV (thousands)</v>
      </c>
      <c r="H7" s="204" t="str">
        <f>SP&amp;" Year Total Costs Undiscounted"</f>
        <v>10 Year Total Costs Undiscounted</v>
      </c>
      <c r="I7" s="204" t="str">
        <f>SP&amp;" Year NPV of Change (thousands)"</f>
        <v>10 Year NPV of Change (thousands)</v>
      </c>
      <c r="J7" s="103" t="s">
        <v>17</v>
      </c>
      <c r="K7" s="103" t="s">
        <v>18</v>
      </c>
      <c r="L7" s="187" t="s">
        <v>19</v>
      </c>
      <c r="M7" s="26"/>
      <c r="N7" s="27"/>
    </row>
    <row r="8" spans="1:14" ht="32.25" customHeight="1" x14ac:dyDescent="0.25">
      <c r="A8" s="28"/>
      <c r="B8" s="29" t="s">
        <v>20</v>
      </c>
      <c r="C8" s="282" t="s">
        <v>21</v>
      </c>
      <c r="D8" s="283"/>
      <c r="E8" s="283"/>
      <c r="F8" s="284"/>
      <c r="G8" s="30">
        <f>'SQ Mgmt'!I4</f>
        <v>166063.4328083838</v>
      </c>
      <c r="H8" s="31">
        <f>'SQ Mgmt'!I3</f>
        <v>276554.6245099199</v>
      </c>
      <c r="I8" s="32" t="s">
        <v>22</v>
      </c>
      <c r="J8" s="33" t="s">
        <v>22</v>
      </c>
      <c r="K8" s="34" t="s">
        <v>22</v>
      </c>
      <c r="L8" s="35" t="s">
        <v>22</v>
      </c>
      <c r="M8" s="36"/>
      <c r="N8" s="37"/>
    </row>
    <row r="9" spans="1:14" ht="13.2" x14ac:dyDescent="0.25">
      <c r="A9" s="38"/>
      <c r="B9" s="285" t="s">
        <v>23</v>
      </c>
      <c r="C9" s="277"/>
      <c r="D9" s="277"/>
      <c r="E9" s="277"/>
      <c r="F9" s="277"/>
      <c r="G9" s="39"/>
      <c r="H9" s="40"/>
      <c r="I9" s="40"/>
      <c r="J9" s="41"/>
      <c r="K9" s="42"/>
      <c r="L9" s="43"/>
      <c r="M9" s="36"/>
      <c r="N9" s="37"/>
    </row>
    <row r="10" spans="1:14" ht="41.25" customHeight="1" x14ac:dyDescent="0.25">
      <c r="A10" s="44">
        <v>1</v>
      </c>
      <c r="B10" s="270" t="s">
        <v>24</v>
      </c>
      <c r="C10" s="271"/>
      <c r="D10" s="271"/>
      <c r="E10" s="271"/>
      <c r="F10" s="272"/>
      <c r="G10" s="45">
        <f>'Alt 1 Mgmt'!I4</f>
        <v>128146.22561084415</v>
      </c>
      <c r="H10" s="46">
        <f>'Alt 1 Mgmt'!I3</f>
        <v>193738.33375229049</v>
      </c>
      <c r="I10" s="46">
        <f>Calculations!D12</f>
        <v>37917.207197539639</v>
      </c>
      <c r="J10" s="47">
        <f>'Alt 1 Mgmt'!O4</f>
        <v>5</v>
      </c>
      <c r="K10" s="48">
        <f>'Alt 1 Mgmt'!P4</f>
        <v>19.704072689407358</v>
      </c>
      <c r="L10" s="49">
        <f>'Alt 1 Mgmt'!N4</f>
        <v>18.704072689407358</v>
      </c>
      <c r="M10" s="36"/>
      <c r="N10" s="50"/>
    </row>
    <row r="11" spans="1:14" ht="38.25" customHeight="1" x14ac:dyDescent="0.25">
      <c r="A11" s="44">
        <v>2</v>
      </c>
      <c r="B11" s="273" t="s">
        <v>25</v>
      </c>
      <c r="C11" s="274"/>
      <c r="D11" s="274"/>
      <c r="E11" s="274"/>
      <c r="F11" s="275"/>
      <c r="G11" s="51">
        <f>'Alt 2 Mgmt'!I4</f>
        <v>126506.22546958455</v>
      </c>
      <c r="H11" s="52">
        <f>'Alt 2 Mgmt'!I3</f>
        <v>191638.32479979048</v>
      </c>
      <c r="I11" s="52">
        <f>Calculations!F12</f>
        <v>39557.207338799235</v>
      </c>
      <c r="J11" s="53">
        <f>'Alt 2 Mgmt'!O4</f>
        <v>4</v>
      </c>
      <c r="K11" s="54">
        <f>'Alt 2 Mgmt'!P4</f>
        <v>20.229074927532363</v>
      </c>
      <c r="L11" s="55">
        <f>'Alt 2 Mgmt'!N4</f>
        <v>20.229074927532363</v>
      </c>
      <c r="M11" s="36"/>
      <c r="N11" s="50"/>
    </row>
    <row r="12" spans="1:14" ht="74.25" customHeight="1" x14ac:dyDescent="0.25">
      <c r="A12" s="44">
        <v>3</v>
      </c>
      <c r="B12" s="273" t="s">
        <v>26</v>
      </c>
      <c r="C12" s="274"/>
      <c r="D12" s="274"/>
      <c r="E12" s="274"/>
      <c r="F12" s="275"/>
      <c r="G12" s="51">
        <f>'Alt 3 Mgmt'!I4</f>
        <v>149694.54172838735</v>
      </c>
      <c r="H12" s="52">
        <f>'Alt 3 Mgmt'!I3</f>
        <v>239204.38545784296</v>
      </c>
      <c r="I12" s="52">
        <f>Calculations!H12</f>
        <v>16368.891079996451</v>
      </c>
      <c r="J12" s="53">
        <f>'Alt 3 Mgmt'!O4</f>
        <v>6</v>
      </c>
      <c r="K12" s="54">
        <f>'Alt 3 Mgmt'!P4</f>
        <v>8.3375597630192306</v>
      </c>
      <c r="L12" s="55">
        <f>'Alt 3 Mgmt'!N4</f>
        <v>7.3375597630192306</v>
      </c>
      <c r="M12" s="36"/>
      <c r="N12" s="50"/>
    </row>
    <row r="13" spans="1:14" ht="29.25" customHeight="1" x14ac:dyDescent="0.25">
      <c r="A13" s="44">
        <v>4</v>
      </c>
      <c r="B13" s="273" t="s">
        <v>27</v>
      </c>
      <c r="C13" s="274"/>
      <c r="D13" s="274"/>
      <c r="E13" s="274"/>
      <c r="F13" s="275"/>
      <c r="G13" s="51">
        <f>'Alt 4 Mgmt'!I4</f>
        <v>174324.66257516903</v>
      </c>
      <c r="H13" s="52">
        <f>'Alt 4 Mgmt'!I3</f>
        <v>297124.40288184234</v>
      </c>
      <c r="I13" s="52">
        <f>Calculations!J12</f>
        <v>-8261.2297667852545</v>
      </c>
      <c r="J13" s="53">
        <f>'Alt 4 Mgmt'!O4</f>
        <v>2</v>
      </c>
      <c r="K13" s="54">
        <f>'Alt 4 Mgmt'!P4</f>
        <v>-94.498992599647394</v>
      </c>
      <c r="L13" s="55">
        <f>'Alt 4 Mgmt'!N4</f>
        <v>-95.498992599647394</v>
      </c>
      <c r="M13" s="36"/>
      <c r="N13" s="50"/>
    </row>
    <row r="14" spans="1:14" ht="21.75" customHeight="1" x14ac:dyDescent="0.25">
      <c r="A14" s="44">
        <v>5</v>
      </c>
      <c r="B14" s="286" t="s">
        <v>28</v>
      </c>
      <c r="C14" s="287"/>
      <c r="D14" s="287"/>
      <c r="E14" s="287"/>
      <c r="F14" s="288"/>
      <c r="G14" s="56">
        <f>'Alt 5 Mgmt'!I4</f>
        <v>169321.73175530662</v>
      </c>
      <c r="H14" s="57">
        <f>'Alt 5 Mgmt'!I4</f>
        <v>169321.73175530662</v>
      </c>
      <c r="I14" s="57">
        <f>Calculations!L12</f>
        <v>73800.724869902813</v>
      </c>
      <c r="J14" s="58">
        <f>'Alt 5 Mgmt'!O4</f>
        <v>2</v>
      </c>
      <c r="K14" s="59">
        <f>'Alt 5 Mgmt'!P4</f>
        <v>39.064538180838902</v>
      </c>
      <c r="L14" s="60">
        <f>'Alt 5 Mgmt'!N4</f>
        <v>38.064538180838902</v>
      </c>
      <c r="M14" s="36"/>
      <c r="N14" s="50"/>
    </row>
    <row r="15" spans="1:14" ht="13.2" x14ac:dyDescent="0.25">
      <c r="A15" s="13"/>
      <c r="B15" s="13"/>
      <c r="C15" s="13"/>
      <c r="D15" s="13"/>
      <c r="E15" s="13"/>
      <c r="F15" s="13"/>
      <c r="G15" s="13"/>
      <c r="H15" s="13"/>
      <c r="I15" s="13"/>
      <c r="J15" s="12"/>
      <c r="K15" s="12"/>
      <c r="L15" s="13"/>
      <c r="M15" s="13"/>
      <c r="N15" s="11"/>
    </row>
    <row r="16" spans="1:14" ht="13.2" x14ac:dyDescent="0.25">
      <c r="A16" s="13"/>
      <c r="B16" s="13"/>
      <c r="C16" s="13"/>
      <c r="D16" s="13"/>
      <c r="E16" s="13"/>
      <c r="F16" s="13"/>
      <c r="G16" s="13"/>
      <c r="H16" s="13"/>
      <c r="I16" s="13"/>
      <c r="J16" s="289"/>
      <c r="K16" s="277"/>
      <c r="L16" s="13"/>
      <c r="M16" s="13"/>
      <c r="N16" s="11"/>
    </row>
    <row r="17" spans="1:14" ht="13.2" x14ac:dyDescent="0.25">
      <c r="A17" s="13"/>
      <c r="B17" s="13"/>
      <c r="C17" s="13"/>
      <c r="D17" s="13"/>
      <c r="E17" s="13"/>
      <c r="F17" s="13"/>
      <c r="G17" s="13"/>
      <c r="H17" s="13"/>
      <c r="I17" s="13"/>
      <c r="J17" s="289" t="str">
        <f>IF(AND(IF(ISERROR('[1] S.Q'!$F$58),"",'[1] S.Q'!$F$58)="",IF(ISERROR('[2]Alt A'!$F$58),"",'[2]Alt A'!$F$58)="",IF(ISERROR('[3]Alt B'!$F$58),"",'[3]Alt B'!$F$58)="",IF(ISERROR('[4]Alt C'!$F$58),"",'[4]Alt C'!$F$58)="",IF(ISERROR('[5]Alt D'!$F$58),"",'[5]Alt D'!$F$58)="",IF(ISERROR('[6]Alt E'!$F$58),"",'[6]Alt E'!$F$58)=""),"","study period.")</f>
        <v/>
      </c>
      <c r="K17" s="277"/>
      <c r="L17" s="13"/>
      <c r="M17" s="13"/>
      <c r="N17" s="11"/>
    </row>
    <row r="18" spans="1:14" ht="13.2" x14ac:dyDescent="0.25">
      <c r="A18" s="11"/>
      <c r="B18" s="11"/>
      <c r="C18" s="11"/>
      <c r="D18" s="11"/>
      <c r="E18" s="11"/>
      <c r="F18" s="11"/>
      <c r="G18" s="11"/>
      <c r="H18" s="11"/>
      <c r="I18" s="11"/>
      <c r="J18" s="11"/>
      <c r="K18" s="11"/>
      <c r="L18" s="11"/>
      <c r="M18" s="11"/>
      <c r="N18" s="11"/>
    </row>
    <row r="19" spans="1:14" ht="13.2" x14ac:dyDescent="0.25">
      <c r="A19" s="11"/>
      <c r="B19" s="11"/>
      <c r="C19" s="11"/>
      <c r="D19" s="11"/>
      <c r="E19" s="11"/>
      <c r="F19" s="11"/>
      <c r="G19" s="11"/>
      <c r="H19" s="11"/>
      <c r="I19" s="11"/>
      <c r="J19" s="11"/>
      <c r="K19" s="11"/>
      <c r="L19" s="11"/>
      <c r="M19" s="11"/>
      <c r="N19" s="11"/>
    </row>
    <row r="20" spans="1:14" ht="13.2" x14ac:dyDescent="0.25">
      <c r="A20" s="11"/>
      <c r="B20" s="11"/>
      <c r="C20" s="11"/>
      <c r="D20" s="11"/>
      <c r="E20" s="11"/>
      <c r="F20" s="11"/>
      <c r="G20" s="11"/>
      <c r="H20" s="11"/>
      <c r="I20" s="11"/>
      <c r="J20" s="11"/>
      <c r="K20" s="11"/>
      <c r="L20" s="11"/>
      <c r="M20" s="11"/>
      <c r="N20" s="11"/>
    </row>
    <row r="21" spans="1:14" ht="13.2" x14ac:dyDescent="0.25">
      <c r="A21" s="11"/>
      <c r="B21" s="11"/>
      <c r="C21" s="11"/>
      <c r="D21" s="11"/>
      <c r="E21" s="11"/>
      <c r="F21" s="11"/>
      <c r="G21" s="11"/>
      <c r="H21" s="11"/>
      <c r="I21" s="11"/>
      <c r="J21" s="11"/>
      <c r="K21" s="11"/>
      <c r="L21" s="11"/>
      <c r="M21" s="11"/>
      <c r="N21" s="11"/>
    </row>
    <row r="22" spans="1:14" ht="13.2" x14ac:dyDescent="0.25">
      <c r="A22" s="11"/>
      <c r="B22" s="11"/>
      <c r="C22" s="11"/>
      <c r="D22" s="11"/>
      <c r="E22" s="11"/>
      <c r="F22" s="11"/>
      <c r="G22" s="11"/>
      <c r="H22" s="11"/>
      <c r="I22" s="11"/>
      <c r="J22" s="11"/>
      <c r="K22" s="11"/>
      <c r="L22" s="11"/>
      <c r="M22" s="11"/>
      <c r="N22" s="11"/>
    </row>
    <row r="23" spans="1:14" ht="13.2" x14ac:dyDescent="0.25">
      <c r="A23" s="11"/>
      <c r="B23" s="11"/>
      <c r="C23" s="11"/>
      <c r="D23" s="11"/>
      <c r="E23" s="11"/>
      <c r="F23" s="11"/>
      <c r="G23" s="11"/>
      <c r="H23" s="11"/>
      <c r="I23" s="11"/>
      <c r="J23" s="11"/>
      <c r="K23" s="11"/>
      <c r="L23" s="11"/>
      <c r="M23" s="11"/>
      <c r="N23" s="11"/>
    </row>
    <row r="24" spans="1:14" ht="13.2" x14ac:dyDescent="0.25">
      <c r="A24" s="11"/>
      <c r="B24" s="11"/>
      <c r="C24" s="11"/>
      <c r="D24" s="11"/>
      <c r="E24" s="11"/>
      <c r="F24" s="11"/>
      <c r="G24" s="11"/>
      <c r="H24" s="11"/>
      <c r="I24" s="11"/>
      <c r="J24" s="11"/>
      <c r="K24" s="11"/>
      <c r="L24" s="11"/>
      <c r="M24" s="11"/>
      <c r="N24" s="11"/>
    </row>
    <row r="25" spans="1:14" ht="13.2" x14ac:dyDescent="0.25">
      <c r="A25" s="11"/>
      <c r="B25" s="11"/>
      <c r="C25" s="11"/>
      <c r="D25" s="11"/>
      <c r="E25" s="11"/>
      <c r="F25" s="11"/>
      <c r="G25" s="11"/>
      <c r="H25" s="11"/>
      <c r="I25" s="11"/>
      <c r="J25" s="11"/>
      <c r="K25" s="11"/>
      <c r="L25" s="11"/>
      <c r="M25" s="11"/>
      <c r="N25" s="11"/>
    </row>
    <row r="26" spans="1:14" ht="13.2" x14ac:dyDescent="0.25">
      <c r="A26" s="11"/>
      <c r="B26" s="11"/>
      <c r="C26" s="11"/>
      <c r="D26" s="11"/>
      <c r="E26" s="11"/>
      <c r="F26" s="11"/>
      <c r="G26" s="11"/>
      <c r="H26" s="11"/>
      <c r="I26" s="11"/>
      <c r="J26" s="11"/>
      <c r="K26" s="11"/>
      <c r="L26" s="11"/>
      <c r="M26" s="11"/>
      <c r="N26" s="11"/>
    </row>
    <row r="27" spans="1:14" ht="13.2" x14ac:dyDescent="0.25">
      <c r="A27" s="11"/>
      <c r="B27" s="11"/>
      <c r="C27" s="11"/>
      <c r="D27" s="11"/>
      <c r="E27" s="11"/>
      <c r="F27" s="11"/>
      <c r="G27" s="11"/>
      <c r="H27" s="11"/>
      <c r="I27" s="11"/>
      <c r="J27" s="11"/>
      <c r="K27" s="11"/>
      <c r="L27" s="11"/>
      <c r="M27" s="11"/>
      <c r="N27" s="11"/>
    </row>
    <row r="28" spans="1:14" ht="13.2" x14ac:dyDescent="0.25">
      <c r="A28" s="11"/>
      <c r="B28" s="11"/>
      <c r="C28" s="11"/>
      <c r="D28" s="11"/>
      <c r="E28" s="11"/>
      <c r="F28" s="11"/>
      <c r="G28" s="11"/>
      <c r="H28" s="11"/>
      <c r="I28" s="11"/>
      <c r="J28" s="11"/>
      <c r="K28" s="11"/>
      <c r="L28" s="11"/>
      <c r="M28" s="11"/>
      <c r="N28" s="11"/>
    </row>
    <row r="29" spans="1:14" ht="13.2" x14ac:dyDescent="0.25">
      <c r="A29" s="11"/>
      <c r="B29" s="11"/>
      <c r="C29" s="11"/>
      <c r="D29" s="11"/>
      <c r="E29" s="11"/>
      <c r="F29" s="11"/>
      <c r="G29" s="11"/>
      <c r="H29" s="11"/>
      <c r="I29" s="11"/>
      <c r="J29" s="11"/>
      <c r="K29" s="11"/>
      <c r="L29" s="11"/>
      <c r="M29" s="11"/>
      <c r="N29" s="11"/>
    </row>
    <row r="30" spans="1:14" ht="13.2" x14ac:dyDescent="0.25">
      <c r="A30" s="11"/>
      <c r="B30" s="11"/>
      <c r="C30" s="11"/>
      <c r="D30" s="11"/>
      <c r="E30" s="11"/>
      <c r="F30" s="11"/>
      <c r="G30" s="11"/>
      <c r="H30" s="11"/>
      <c r="I30" s="11"/>
      <c r="J30" s="11"/>
      <c r="K30" s="11"/>
      <c r="L30" s="11"/>
      <c r="M30" s="11"/>
      <c r="N30" s="11"/>
    </row>
    <row r="31" spans="1:14" ht="13.2" x14ac:dyDescent="0.25">
      <c r="A31" s="11"/>
      <c r="B31" s="11"/>
      <c r="C31" s="11"/>
      <c r="D31" s="11"/>
      <c r="E31" s="11"/>
      <c r="F31" s="11"/>
      <c r="G31" s="11"/>
      <c r="H31" s="11"/>
      <c r="I31" s="11"/>
      <c r="J31" s="11"/>
      <c r="K31" s="11"/>
      <c r="L31" s="11"/>
      <c r="M31" s="11"/>
      <c r="N31" s="11"/>
    </row>
    <row r="32" spans="1:14" ht="13.2" x14ac:dyDescent="0.25">
      <c r="A32" s="11"/>
      <c r="B32" s="11"/>
      <c r="C32" s="11"/>
      <c r="D32" s="11"/>
      <c r="E32" s="11"/>
      <c r="F32" s="11"/>
      <c r="G32" s="11"/>
      <c r="H32" s="11"/>
      <c r="I32" s="11"/>
      <c r="J32" s="11"/>
      <c r="K32" s="11"/>
      <c r="L32" s="11"/>
      <c r="M32" s="11"/>
      <c r="N32" s="11"/>
    </row>
    <row r="33" spans="1:14" ht="13.2" x14ac:dyDescent="0.25">
      <c r="A33" s="11"/>
      <c r="B33" s="11"/>
      <c r="C33" s="11"/>
      <c r="D33" s="11"/>
      <c r="E33" s="11"/>
      <c r="F33" s="11"/>
      <c r="G33" s="11"/>
      <c r="H33" s="11"/>
      <c r="I33" s="11"/>
      <c r="J33" s="11"/>
      <c r="K33" s="11"/>
      <c r="L33" s="11"/>
      <c r="M33" s="11"/>
      <c r="N33" s="11"/>
    </row>
    <row r="34" spans="1:14" ht="13.2" x14ac:dyDescent="0.25">
      <c r="A34" s="11"/>
      <c r="B34" s="11"/>
      <c r="C34" s="11"/>
      <c r="D34" s="11"/>
      <c r="E34" s="11"/>
      <c r="F34" s="11"/>
      <c r="G34" s="11"/>
      <c r="H34" s="11"/>
      <c r="I34" s="11"/>
      <c r="J34" s="11"/>
      <c r="K34" s="11"/>
      <c r="L34" s="11"/>
      <c r="M34" s="11"/>
      <c r="N34" s="11"/>
    </row>
    <row r="35" spans="1:14" ht="13.2" x14ac:dyDescent="0.25">
      <c r="A35" s="11"/>
      <c r="B35" s="11"/>
      <c r="C35" s="11"/>
      <c r="D35" s="11"/>
      <c r="E35" s="11"/>
      <c r="F35" s="11"/>
      <c r="G35" s="11"/>
      <c r="H35" s="11"/>
      <c r="I35" s="11"/>
      <c r="J35" s="11"/>
      <c r="K35" s="11"/>
      <c r="L35" s="11"/>
      <c r="M35" s="11"/>
      <c r="N35" s="11"/>
    </row>
    <row r="36" spans="1:14" ht="13.2" x14ac:dyDescent="0.25">
      <c r="A36" s="11"/>
      <c r="B36" s="11"/>
      <c r="C36" s="11"/>
      <c r="D36" s="11"/>
      <c r="E36" s="11"/>
      <c r="F36" s="11"/>
      <c r="G36" s="11"/>
      <c r="H36" s="11"/>
      <c r="I36" s="11"/>
      <c r="J36" s="11"/>
      <c r="K36" s="11"/>
      <c r="L36" s="11"/>
      <c r="M36" s="11"/>
      <c r="N36" s="11"/>
    </row>
    <row r="37" spans="1:14" ht="13.2" x14ac:dyDescent="0.25">
      <c r="A37" s="11"/>
      <c r="B37" s="11"/>
      <c r="C37" s="11"/>
      <c r="D37" s="11"/>
      <c r="E37" s="11"/>
      <c r="F37" s="11"/>
      <c r="G37" s="11"/>
      <c r="H37" s="11"/>
      <c r="I37" s="11"/>
      <c r="J37" s="11"/>
      <c r="K37" s="11"/>
      <c r="L37" s="11"/>
      <c r="M37" s="11"/>
      <c r="N37" s="11"/>
    </row>
    <row r="38" spans="1:14" ht="13.2" x14ac:dyDescent="0.25">
      <c r="A38" s="11"/>
      <c r="B38" s="11"/>
      <c r="C38" s="11"/>
      <c r="D38" s="11"/>
      <c r="E38" s="11"/>
      <c r="F38" s="11"/>
      <c r="G38" s="11"/>
      <c r="H38" s="11"/>
      <c r="I38" s="11"/>
      <c r="J38" s="11"/>
      <c r="K38" s="11"/>
      <c r="L38" s="11"/>
      <c r="M38" s="11"/>
      <c r="N38" s="11"/>
    </row>
    <row r="39" spans="1:14" ht="13.2" x14ac:dyDescent="0.25">
      <c r="A39" s="11"/>
      <c r="B39" s="11"/>
      <c r="C39" s="11"/>
      <c r="D39" s="11"/>
      <c r="E39" s="11"/>
      <c r="F39" s="11"/>
      <c r="G39" s="11"/>
      <c r="H39" s="11"/>
      <c r="I39" s="11"/>
      <c r="J39" s="11"/>
      <c r="K39" s="11"/>
      <c r="L39" s="11"/>
      <c r="M39" s="11"/>
      <c r="N39" s="11"/>
    </row>
  </sheetData>
  <sheetProtection algorithmName="SHA-512" hashValue="TuKVzIPGZ/vXC5Odw7jRJTY/Gg37ZJ/EKE5POYrZ+hwZtAXCPcYTEriMb8Ah1LsFnYy0OxBg5WeEhIBdWRo1Hw==" saltValue="L+qYHDtNk3xvZGXrMiHUEQ==" spinCount="100000" sheet="1" objects="1" scenarios="1" formatCells="0" formatColumns="0" formatRows="0"/>
  <mergeCells count="12">
    <mergeCell ref="B12:F12"/>
    <mergeCell ref="B13:F13"/>
    <mergeCell ref="B14:F14"/>
    <mergeCell ref="J16:K16"/>
    <mergeCell ref="J17:K17"/>
    <mergeCell ref="B10:F10"/>
    <mergeCell ref="B11:F11"/>
    <mergeCell ref="A1:K1"/>
    <mergeCell ref="A2:L2"/>
    <mergeCell ref="A3:K3"/>
    <mergeCell ref="C8:F8"/>
    <mergeCell ref="B9:F9"/>
  </mergeCells>
  <printOptions horizontalCentered="1"/>
  <pageMargins left="0.4" right="0.4" top="0.6" bottom="0.5" header="0" footer="0"/>
  <pageSetup orientation="portrait"/>
  <headerFooter>
    <oddFooter>&amp;L&amp;F&amp;CPage &amp;P of &amp;R&amp;D &amp;T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1C232"/>
    <outlinePr summaryBelow="0" summaryRight="0"/>
  </sheetPr>
  <dimension ref="A1:N44"/>
  <sheetViews>
    <sheetView showGridLines="0" showRowColHeaders="0" workbookViewId="0"/>
  </sheetViews>
  <sheetFormatPr defaultColWidth="14.44140625" defaultRowHeight="15" customHeight="1" x14ac:dyDescent="0.25"/>
  <cols>
    <col min="1" max="1" width="5.88671875" customWidth="1"/>
    <col min="2" max="12" width="13" customWidth="1"/>
    <col min="13" max="13" width="5.88671875" customWidth="1"/>
  </cols>
  <sheetData>
    <row r="1" spans="1:14" ht="13.2" x14ac:dyDescent="0.25">
      <c r="A1" s="61"/>
      <c r="B1" s="61"/>
      <c r="C1" s="61"/>
      <c r="D1" s="61"/>
      <c r="E1" s="61"/>
      <c r="F1" s="61"/>
      <c r="G1" s="61"/>
      <c r="H1" s="61"/>
      <c r="I1" s="61"/>
      <c r="J1" s="61"/>
      <c r="K1" s="61"/>
      <c r="L1" s="61"/>
      <c r="M1" s="62"/>
      <c r="N1" s="62"/>
    </row>
    <row r="2" spans="1:14" ht="13.2" x14ac:dyDescent="0.25">
      <c r="A2" s="63"/>
      <c r="B2" s="63"/>
      <c r="C2" s="292" t="s">
        <v>29</v>
      </c>
      <c r="D2" s="277"/>
      <c r="E2" s="277"/>
      <c r="F2" s="277"/>
      <c r="G2" s="277"/>
      <c r="H2" s="277"/>
      <c r="I2" s="63"/>
      <c r="J2" s="63"/>
      <c r="K2" s="63"/>
      <c r="L2" s="63"/>
      <c r="M2" s="62"/>
      <c r="N2" s="62"/>
    </row>
    <row r="3" spans="1:14" ht="26.4" x14ac:dyDescent="0.25">
      <c r="A3" s="65"/>
      <c r="B3" s="66"/>
      <c r="C3" s="67" t="s">
        <v>30</v>
      </c>
      <c r="D3" s="293" t="s">
        <v>31</v>
      </c>
      <c r="E3" s="294"/>
      <c r="F3" s="68" t="s">
        <v>32</v>
      </c>
      <c r="G3" s="69" t="s">
        <v>33</v>
      </c>
      <c r="H3" s="70" t="s">
        <v>19</v>
      </c>
      <c r="I3" s="39"/>
      <c r="J3" s="39"/>
      <c r="K3" s="39"/>
      <c r="L3" s="39"/>
      <c r="M3" s="62"/>
      <c r="N3" s="62"/>
    </row>
    <row r="4" spans="1:14" ht="13.2" x14ac:dyDescent="0.25">
      <c r="A4" s="65"/>
      <c r="B4" s="71" t="s">
        <v>34</v>
      </c>
      <c r="C4" s="72">
        <f>'SQ Mgmt'!I4</f>
        <v>166063.4328083838</v>
      </c>
      <c r="D4" s="73">
        <v>0</v>
      </c>
      <c r="E4" s="295"/>
      <c r="F4" s="75" t="s">
        <v>22</v>
      </c>
      <c r="G4" s="76" t="s">
        <v>22</v>
      </c>
      <c r="H4" s="77" t="s">
        <v>22</v>
      </c>
      <c r="I4" s="78"/>
      <c r="J4" s="78"/>
      <c r="K4" s="78"/>
      <c r="L4" s="78"/>
      <c r="M4" s="62"/>
      <c r="N4" s="62"/>
    </row>
    <row r="5" spans="1:14" ht="13.2" x14ac:dyDescent="0.25">
      <c r="A5" s="65"/>
      <c r="B5" s="71" t="s">
        <v>35</v>
      </c>
      <c r="C5" s="79">
        <f>'Alt 1 Mgmt'!I4</f>
        <v>128146.22561084415</v>
      </c>
      <c r="D5" s="74">
        <f>D12</f>
        <v>37917.207197539639</v>
      </c>
      <c r="E5" s="277"/>
      <c r="F5" s="80">
        <f>'Alt 1 Mgmt'!O4</f>
        <v>5</v>
      </c>
      <c r="G5" s="81">
        <f>'Alt 1 Mgmt'!P4</f>
        <v>19.704072689407358</v>
      </c>
      <c r="H5" s="82">
        <f>'Alt 1 Mgmt'!N4</f>
        <v>18.704072689407358</v>
      </c>
      <c r="I5" s="83"/>
      <c r="J5" s="83"/>
      <c r="K5" s="83"/>
      <c r="L5" s="83"/>
      <c r="M5" s="62"/>
      <c r="N5" s="62"/>
    </row>
    <row r="6" spans="1:14" ht="13.2" x14ac:dyDescent="0.25">
      <c r="A6" s="65"/>
      <c r="B6" s="71" t="s">
        <v>36</v>
      </c>
      <c r="C6" s="72">
        <f>'Alt 2 Mgmt'!I4</f>
        <v>126506.22546958455</v>
      </c>
      <c r="D6" s="73">
        <f>F12</f>
        <v>39557.207338799235</v>
      </c>
      <c r="E6" s="277"/>
      <c r="F6" s="75">
        <f>'Alt 2 Mgmt'!O4</f>
        <v>4</v>
      </c>
      <c r="G6" s="76">
        <f>'Alt 2 Mgmt'!P4</f>
        <v>20.229074927532363</v>
      </c>
      <c r="H6" s="84">
        <f>'Alt 2 Mgmt'!N4</f>
        <v>20.229074927532363</v>
      </c>
      <c r="I6" s="85"/>
      <c r="J6" s="86"/>
      <c r="K6" s="85"/>
      <c r="L6" s="86"/>
      <c r="M6" s="62"/>
      <c r="N6" s="62"/>
    </row>
    <row r="7" spans="1:14" ht="13.2" x14ac:dyDescent="0.25">
      <c r="A7" s="65"/>
      <c r="B7" s="87" t="s">
        <v>37</v>
      </c>
      <c r="C7" s="88">
        <f>'Alt 3 Mgmt'!I4</f>
        <v>149694.54172838735</v>
      </c>
      <c r="D7" s="89">
        <f>H12</f>
        <v>16368.891079996451</v>
      </c>
      <c r="E7" s="277"/>
      <c r="F7" s="90">
        <f>'Alt 3 Mgmt'!O4</f>
        <v>6</v>
      </c>
      <c r="G7" s="81">
        <f>'Alt 3 Mgmt'!P4</f>
        <v>8.3375597630192306</v>
      </c>
      <c r="H7" s="91">
        <f>'Alt 3 Mgmt'!N4</f>
        <v>7.3375597630192306</v>
      </c>
      <c r="I7" s="92"/>
      <c r="J7" s="92"/>
      <c r="K7" s="92"/>
      <c r="L7" s="92"/>
      <c r="M7" s="62"/>
      <c r="N7" s="62"/>
    </row>
    <row r="8" spans="1:14" ht="13.2" x14ac:dyDescent="0.25">
      <c r="A8" s="65"/>
      <c r="B8" s="87" t="s">
        <v>38</v>
      </c>
      <c r="C8" s="93">
        <f>'Alt 4 Mgmt'!I4</f>
        <v>174324.66257516903</v>
      </c>
      <c r="D8" s="94">
        <f>J12</f>
        <v>-8261.2297667852545</v>
      </c>
      <c r="E8" s="277"/>
      <c r="F8" s="95">
        <f>'Alt 4 Mgmt'!O4</f>
        <v>2</v>
      </c>
      <c r="G8" s="76">
        <f>'Alt 4 Mgmt'!P4</f>
        <v>-94.498992599647394</v>
      </c>
      <c r="H8" s="77">
        <f>'Alt 4 Mgmt'!N4</f>
        <v>-95.498992599647394</v>
      </c>
      <c r="I8" s="85"/>
      <c r="J8" s="85"/>
      <c r="K8" s="85"/>
      <c r="L8" s="85"/>
      <c r="M8" s="62"/>
      <c r="N8" s="62"/>
    </row>
    <row r="9" spans="1:14" ht="13.2" x14ac:dyDescent="0.25">
      <c r="A9" s="65"/>
      <c r="B9" s="87" t="s">
        <v>39</v>
      </c>
      <c r="C9" s="96">
        <f>'Alt 5 Mgmt'!I4</f>
        <v>169321.73175530662</v>
      </c>
      <c r="D9" s="97">
        <f>L12</f>
        <v>73800.724869902813</v>
      </c>
      <c r="E9" s="296"/>
      <c r="F9" s="98">
        <f>'Alt 5 Mgmt'!O4</f>
        <v>2</v>
      </c>
      <c r="G9" s="99">
        <f>'Alt 5 Mgmt'!P4</f>
        <v>39.064538180838902</v>
      </c>
      <c r="H9" s="100">
        <f>'Alt 5 Mgmt'!N4</f>
        <v>38.064538180838902</v>
      </c>
      <c r="I9" s="85"/>
      <c r="J9" s="85"/>
      <c r="K9" s="85"/>
      <c r="L9" s="85"/>
      <c r="M9" s="62"/>
      <c r="N9" s="62"/>
    </row>
    <row r="10" spans="1:14" ht="13.2" x14ac:dyDescent="0.25">
      <c r="A10" s="65"/>
      <c r="B10" s="85"/>
      <c r="C10" s="101"/>
      <c r="D10" s="102"/>
      <c r="E10" s="101"/>
      <c r="F10" s="102"/>
      <c r="G10" s="101"/>
      <c r="H10" s="102"/>
      <c r="I10" s="101"/>
      <c r="J10" s="102"/>
      <c r="K10" s="101"/>
      <c r="L10" s="102"/>
      <c r="M10" s="62"/>
      <c r="N10" s="62"/>
    </row>
    <row r="11" spans="1:14" ht="18" customHeight="1" x14ac:dyDescent="0.25">
      <c r="A11" s="65"/>
      <c r="B11" s="297" t="s">
        <v>40</v>
      </c>
      <c r="C11" s="277"/>
      <c r="D11" s="277"/>
      <c r="E11" s="277"/>
      <c r="F11" s="277"/>
      <c r="G11" s="277"/>
      <c r="H11" s="277"/>
      <c r="I11" s="277"/>
      <c r="J11" s="277"/>
      <c r="M11" s="62"/>
      <c r="N11" s="62"/>
    </row>
    <row r="12" spans="1:14" ht="13.2" x14ac:dyDescent="0.25">
      <c r="A12" s="65"/>
      <c r="B12" s="85"/>
      <c r="C12" s="101" t="s">
        <v>41</v>
      </c>
      <c r="D12" s="102">
        <f t="array" ref="D12">NPV(DR,D15:D44)</f>
        <v>37917.207197539639</v>
      </c>
      <c r="E12" s="101" t="s">
        <v>42</v>
      </c>
      <c r="F12" s="102">
        <f t="array" ref="F12">NPV(DR,F15:F44)</f>
        <v>39557.207338799235</v>
      </c>
      <c r="G12" s="101" t="s">
        <v>43</v>
      </c>
      <c r="H12" s="102">
        <f t="array" ref="H12">NPV(DR,H15:H44)</f>
        <v>16368.891079996451</v>
      </c>
      <c r="I12" s="101" t="s">
        <v>44</v>
      </c>
      <c r="J12" s="102">
        <f t="array" ref="J12">NPV(DR,J15:J44)</f>
        <v>-8261.2297667852545</v>
      </c>
      <c r="K12" s="101" t="s">
        <v>45</v>
      </c>
      <c r="L12" s="102">
        <f t="array" ref="L12">NPV(DR,L15:L44)</f>
        <v>73800.724869902813</v>
      </c>
      <c r="M12" s="62"/>
      <c r="N12" s="62"/>
    </row>
    <row r="13" spans="1:14" ht="13.2" x14ac:dyDescent="0.25">
      <c r="A13" s="103"/>
      <c r="B13" s="104" t="s">
        <v>34</v>
      </c>
      <c r="C13" s="298" t="s">
        <v>35</v>
      </c>
      <c r="D13" s="291"/>
      <c r="E13" s="290" t="s">
        <v>36</v>
      </c>
      <c r="F13" s="299"/>
      <c r="G13" s="298" t="s">
        <v>37</v>
      </c>
      <c r="H13" s="291"/>
      <c r="I13" s="290" t="s">
        <v>38</v>
      </c>
      <c r="J13" s="291"/>
      <c r="K13" s="290" t="s">
        <v>39</v>
      </c>
      <c r="L13" s="291"/>
      <c r="M13" s="105"/>
      <c r="N13" s="105"/>
    </row>
    <row r="14" spans="1:14" ht="13.2" x14ac:dyDescent="0.25">
      <c r="A14" s="106" t="s">
        <v>46</v>
      </c>
      <c r="B14" s="107" t="s">
        <v>47</v>
      </c>
      <c r="C14" s="107" t="s">
        <v>47</v>
      </c>
      <c r="D14" s="108" t="s">
        <v>48</v>
      </c>
      <c r="E14" s="109" t="s">
        <v>47</v>
      </c>
      <c r="F14" s="110" t="s">
        <v>48</v>
      </c>
      <c r="G14" s="107" t="s">
        <v>47</v>
      </c>
      <c r="H14" s="108" t="s">
        <v>48</v>
      </c>
      <c r="I14" s="109" t="s">
        <v>47</v>
      </c>
      <c r="J14" s="108" t="s">
        <v>48</v>
      </c>
      <c r="K14" s="109" t="s">
        <v>47</v>
      </c>
      <c r="L14" s="108" t="s">
        <v>48</v>
      </c>
      <c r="M14" s="111"/>
      <c r="N14" s="111"/>
    </row>
    <row r="15" spans="1:14" ht="15.75" customHeight="1" x14ac:dyDescent="0.25">
      <c r="A15" s="64" cm="1">
        <f t="array" ref="A15:A24">_xlfn.SEQUENCE(SP)</f>
        <v>1</v>
      </c>
      <c r="B15" s="112">
        <f t="array" ref="B15:B44">'SQ Mgmt'!W12:W41</f>
        <v>24124</v>
      </c>
      <c r="C15" s="113">
        <f t="array" ref="C15:C44">'Alt 1 Mgmt'!W16:W45</f>
        <v>24624</v>
      </c>
      <c r="D15" s="114">
        <f t="array" ref="D15:D44">$B$15:$B$44-C15:C44</f>
        <v>-500</v>
      </c>
      <c r="E15" s="115">
        <f t="array" ref="E15:E44">'Alt 2 Mgmt'!W16:W45</f>
        <v>24124</v>
      </c>
      <c r="F15" s="114">
        <f t="array" ref="F15:F44">$B$15:$B$44-E15:E44</f>
        <v>0</v>
      </c>
      <c r="G15" s="113">
        <f t="array" ref="G15:G44">'Alt 3 Mgmt'!W16:W45</f>
        <v>24124</v>
      </c>
      <c r="H15" s="114">
        <f t="array" ref="H15:H44">$B$15:$B$44-G15:G44</f>
        <v>0</v>
      </c>
      <c r="I15" s="115">
        <f t="array" ref="I15:I44">'Alt 4 Mgmt'!W16:W45</f>
        <v>24124</v>
      </c>
      <c r="J15" s="114">
        <f t="array" ref="J15:J44">$B$15:$B$44-I15:I44</f>
        <v>0</v>
      </c>
      <c r="K15" s="115">
        <f t="array" ref="K15:K44">'Alt 5 Mgmt'!W16:W45</f>
        <v>24624</v>
      </c>
      <c r="L15" s="114">
        <f t="array" ref="L15:L44">$B$15:$B$44-K15:K44</f>
        <v>-500</v>
      </c>
      <c r="M15" s="62"/>
      <c r="N15" s="62"/>
    </row>
    <row r="16" spans="1:14" ht="15.75" customHeight="1" x14ac:dyDescent="0.25">
      <c r="A16" s="64">
        <v>2</v>
      </c>
      <c r="B16" s="112">
        <v>24847.72</v>
      </c>
      <c r="C16" s="113">
        <v>26392.720000000001</v>
      </c>
      <c r="D16" s="114">
        <v>-1545</v>
      </c>
      <c r="E16" s="115">
        <v>25877.72</v>
      </c>
      <c r="F16" s="116">
        <v>-1030</v>
      </c>
      <c r="G16" s="113">
        <v>25877.72</v>
      </c>
      <c r="H16" s="114">
        <v>-1030</v>
      </c>
      <c r="I16" s="115">
        <v>18667.72</v>
      </c>
      <c r="J16" s="117">
        <v>6180</v>
      </c>
      <c r="K16" s="115">
        <v>0</v>
      </c>
      <c r="L16" s="117">
        <v>24847.72</v>
      </c>
      <c r="M16" s="118"/>
      <c r="N16" s="118"/>
    </row>
    <row r="17" spans="1:14" ht="15.75" customHeight="1" x14ac:dyDescent="0.25">
      <c r="A17" s="64">
        <v>3</v>
      </c>
      <c r="B17" s="112">
        <v>25593.151599999997</v>
      </c>
      <c r="C17" s="113">
        <v>28243.2798</v>
      </c>
      <c r="D17" s="114">
        <v>-2650.1282000000028</v>
      </c>
      <c r="E17" s="115">
        <v>27712.8298</v>
      </c>
      <c r="F17" s="116">
        <v>-2119.6782000000021</v>
      </c>
      <c r="G17" s="113">
        <v>27712.8298</v>
      </c>
      <c r="H17" s="114">
        <v>-2119.6782000000021</v>
      </c>
      <c r="I17" s="115">
        <v>19227.7516</v>
      </c>
      <c r="J17" s="117">
        <v>6365.3999999999978</v>
      </c>
      <c r="K17" s="115">
        <v>28243.2798</v>
      </c>
      <c r="L17" s="117">
        <v>-2650.1282000000028</v>
      </c>
      <c r="M17" s="118"/>
      <c r="N17" s="118"/>
    </row>
    <row r="18" spans="1:14" ht="15.75" customHeight="1" x14ac:dyDescent="0.25">
      <c r="A18" s="64">
        <v>4</v>
      </c>
      <c r="B18" s="112">
        <v>26360.946147999999</v>
      </c>
      <c r="C18" s="113">
        <v>23329.721450000001</v>
      </c>
      <c r="D18" s="114">
        <v>3031.2246979999982</v>
      </c>
      <c r="E18" s="115">
        <v>23056.539700000001</v>
      </c>
      <c r="F18" s="116">
        <v>3304.4064479999979</v>
      </c>
      <c r="G18" s="113">
        <v>27427.447700000001</v>
      </c>
      <c r="H18" s="114">
        <v>-1066.5015520000015</v>
      </c>
      <c r="I18" s="115">
        <v>31824.581148000001</v>
      </c>
      <c r="J18" s="117">
        <v>-5463.635000000002</v>
      </c>
      <c r="K18" s="115">
        <v>0</v>
      </c>
      <c r="L18" s="117">
        <v>26360.946147999999</v>
      </c>
      <c r="M18" s="118"/>
      <c r="N18" s="118"/>
    </row>
    <row r="19" spans="1:14" ht="15.75" customHeight="1" x14ac:dyDescent="0.25">
      <c r="A19" s="64">
        <v>5</v>
      </c>
      <c r="B19" s="112">
        <v>27151.774532439998</v>
      </c>
      <c r="C19" s="113">
        <v>20922.083269089999</v>
      </c>
      <c r="D19" s="114">
        <v>6229.6912633499996</v>
      </c>
      <c r="E19" s="115">
        <v>20640.706066589999</v>
      </c>
      <c r="F19" s="116">
        <v>6511.0684658499995</v>
      </c>
      <c r="G19" s="113">
        <v>25142.74130659</v>
      </c>
      <c r="H19" s="114">
        <v>2009.0332258499984</v>
      </c>
      <c r="I19" s="115">
        <v>31788.870829639996</v>
      </c>
      <c r="J19" s="117">
        <v>-4637.0962971999979</v>
      </c>
      <c r="K19" s="115">
        <v>0</v>
      </c>
      <c r="L19" s="117">
        <v>27151.774532439998</v>
      </c>
      <c r="M19" s="118"/>
      <c r="N19" s="118"/>
    </row>
    <row r="20" spans="1:14" ht="15.75" customHeight="1" x14ac:dyDescent="0.25">
      <c r="A20" s="64">
        <v>6</v>
      </c>
      <c r="B20" s="112">
        <v>27966.327768413197</v>
      </c>
      <c r="C20" s="113">
        <v>17762.397366424597</v>
      </c>
      <c r="D20" s="114">
        <v>10203.9304019886</v>
      </c>
      <c r="E20" s="115">
        <v>17762.397366424597</v>
      </c>
      <c r="F20" s="116">
        <v>10203.9304019886</v>
      </c>
      <c r="G20" s="113">
        <v>22399.493663624598</v>
      </c>
      <c r="H20" s="114">
        <v>5566.8341047885988</v>
      </c>
      <c r="I20" s="115">
        <v>37402.818733215194</v>
      </c>
      <c r="J20" s="117">
        <v>-9436.4909648019966</v>
      </c>
      <c r="K20" s="115">
        <v>29705.238879863195</v>
      </c>
      <c r="L20" s="117">
        <v>-1738.9111114499974</v>
      </c>
      <c r="M20" s="118"/>
      <c r="N20" s="118"/>
    </row>
    <row r="21" spans="1:14" ht="15.75" customHeight="1" x14ac:dyDescent="0.25">
      <c r="A21" s="64">
        <v>7</v>
      </c>
      <c r="B21" s="112">
        <v>28805.317601465591</v>
      </c>
      <c r="C21" s="113">
        <v>15894.030119097519</v>
      </c>
      <c r="D21" s="114">
        <v>12911.287482368072</v>
      </c>
      <c r="E21" s="115">
        <v>15894.030119097519</v>
      </c>
      <c r="F21" s="116">
        <v>12911.287482368072</v>
      </c>
      <c r="G21" s="113">
        <v>20682.179828178807</v>
      </c>
      <c r="H21" s="114">
        <v>8123.1377732867841</v>
      </c>
      <c r="I21" s="115">
        <v>33868.099338748551</v>
      </c>
      <c r="J21" s="117">
        <v>-5062.7817372829595</v>
      </c>
      <c r="K21" s="115">
        <v>0</v>
      </c>
      <c r="L21" s="117">
        <v>28805.317601465591</v>
      </c>
      <c r="M21" s="118"/>
      <c r="N21" s="118"/>
    </row>
    <row r="22" spans="1:14" ht="15.75" customHeight="1" x14ac:dyDescent="0.25">
      <c r="A22" s="64">
        <v>8</v>
      </c>
      <c r="B22" s="112">
        <v>29669.477129509563</v>
      </c>
      <c r="C22" s="113">
        <v>13281.407872723172</v>
      </c>
      <c r="D22" s="114">
        <v>16388.069256786392</v>
      </c>
      <c r="E22" s="115">
        <v>13281.407872723172</v>
      </c>
      <c r="F22" s="116">
        <v>16388.069256786392</v>
      </c>
      <c r="G22" s="113">
        <v>21301.415349158749</v>
      </c>
      <c r="H22" s="114">
        <v>8368.0617803508139</v>
      </c>
      <c r="I22" s="115">
        <v>32424.394588061274</v>
      </c>
      <c r="J22" s="117">
        <v>-2754.9174585517103</v>
      </c>
      <c r="K22" s="115">
        <v>0</v>
      </c>
      <c r="L22" s="117">
        <v>29669.477129509563</v>
      </c>
      <c r="M22" s="118"/>
      <c r="N22" s="118"/>
    </row>
    <row r="23" spans="1:14" ht="15.75" customHeight="1" x14ac:dyDescent="0.25">
      <c r="A23" s="64">
        <v>9</v>
      </c>
      <c r="B23" s="112">
        <v>30559.561443394847</v>
      </c>
      <c r="C23" s="113">
        <v>11575.745003720034</v>
      </c>
      <c r="D23" s="114">
        <v>18983.816439674811</v>
      </c>
      <c r="E23" s="115">
        <v>11575.745003720034</v>
      </c>
      <c r="F23" s="116">
        <v>18983.816439674811</v>
      </c>
      <c r="G23" s="113">
        <v>21939.191039552119</v>
      </c>
      <c r="H23" s="114">
        <v>8620.3704038427277</v>
      </c>
      <c r="I23" s="115">
        <v>33397.1264257031</v>
      </c>
      <c r="J23" s="117">
        <v>-2837.5649823082531</v>
      </c>
      <c r="K23" s="115">
        <v>33723.953106701112</v>
      </c>
      <c r="L23" s="117">
        <v>-3164.3916633062654</v>
      </c>
      <c r="M23" s="118"/>
      <c r="N23" s="118"/>
    </row>
    <row r="24" spans="1:14" ht="15.75" customHeight="1" x14ac:dyDescent="0.25">
      <c r="A24" s="64">
        <v>10</v>
      </c>
      <c r="B24" s="112">
        <v>31476.348286696692</v>
      </c>
      <c r="C24" s="113">
        <v>11712.948871235127</v>
      </c>
      <c r="D24" s="114">
        <v>19763.399415461565</v>
      </c>
      <c r="E24" s="115">
        <v>11712.948871235127</v>
      </c>
      <c r="F24" s="116">
        <v>19763.399415461565</v>
      </c>
      <c r="G24" s="113">
        <v>22597.366770738685</v>
      </c>
      <c r="H24" s="114">
        <v>8878.9815159580066</v>
      </c>
      <c r="I24" s="115">
        <v>34399.040218474198</v>
      </c>
      <c r="J24" s="117">
        <v>-2922.6919317775064</v>
      </c>
      <c r="K24" s="115">
        <v>0</v>
      </c>
      <c r="L24" s="117">
        <v>31476.348286696692</v>
      </c>
      <c r="M24" s="118"/>
      <c r="N24" s="118"/>
    </row>
    <row r="25" spans="1:14" ht="15.75" customHeight="1" x14ac:dyDescent="0.25">
      <c r="A25" s="64"/>
      <c r="B25" s="112">
        <v>0</v>
      </c>
      <c r="C25" s="113">
        <v>0</v>
      </c>
      <c r="D25" s="117">
        <v>0</v>
      </c>
      <c r="E25" s="119">
        <v>0</v>
      </c>
      <c r="F25" s="120">
        <v>0</v>
      </c>
      <c r="G25" s="121">
        <v>0</v>
      </c>
      <c r="H25" s="117">
        <v>0</v>
      </c>
      <c r="I25" s="119">
        <v>0</v>
      </c>
      <c r="J25" s="117">
        <v>0</v>
      </c>
      <c r="K25" s="119">
        <v>0</v>
      </c>
      <c r="L25" s="117">
        <v>0</v>
      </c>
      <c r="M25" s="118"/>
      <c r="N25" s="118"/>
    </row>
    <row r="26" spans="1:14" ht="15.75" customHeight="1" x14ac:dyDescent="0.25">
      <c r="A26" s="64"/>
      <c r="B26" s="112">
        <v>0</v>
      </c>
      <c r="C26" s="113">
        <v>0</v>
      </c>
      <c r="D26" s="117">
        <v>0</v>
      </c>
      <c r="E26" s="119">
        <v>0</v>
      </c>
      <c r="F26" s="120">
        <v>0</v>
      </c>
      <c r="G26" s="121">
        <v>0</v>
      </c>
      <c r="H26" s="117">
        <v>0</v>
      </c>
      <c r="I26" s="119">
        <v>0</v>
      </c>
      <c r="J26" s="117">
        <v>0</v>
      </c>
      <c r="K26" s="119">
        <v>20728.155339805824</v>
      </c>
      <c r="L26" s="117">
        <v>-20728.155339805824</v>
      </c>
      <c r="M26" s="62"/>
      <c r="N26" s="62"/>
    </row>
    <row r="27" spans="1:14" ht="15.75" customHeight="1" x14ac:dyDescent="0.25">
      <c r="A27" s="64"/>
      <c r="B27" s="112">
        <v>0</v>
      </c>
      <c r="C27" s="113">
        <v>0</v>
      </c>
      <c r="D27" s="117">
        <v>0</v>
      </c>
      <c r="E27" s="119">
        <v>0</v>
      </c>
      <c r="F27" s="120">
        <v>0</v>
      </c>
      <c r="G27" s="121">
        <v>0</v>
      </c>
      <c r="H27" s="117">
        <v>0</v>
      </c>
      <c r="I27" s="119">
        <v>0</v>
      </c>
      <c r="J27" s="117">
        <v>0</v>
      </c>
      <c r="K27" s="119">
        <v>0</v>
      </c>
      <c r="L27" s="117">
        <v>0</v>
      </c>
      <c r="M27" s="118"/>
      <c r="N27" s="118"/>
    </row>
    <row r="28" spans="1:14" ht="15.75" customHeight="1" x14ac:dyDescent="0.25">
      <c r="A28" s="64"/>
      <c r="B28" s="112">
        <v>0</v>
      </c>
      <c r="C28" s="113">
        <v>0</v>
      </c>
      <c r="D28" s="117">
        <v>0</v>
      </c>
      <c r="E28" s="119">
        <v>0</v>
      </c>
      <c r="F28" s="120">
        <v>0</v>
      </c>
      <c r="G28" s="121">
        <v>0</v>
      </c>
      <c r="H28" s="117">
        <v>0</v>
      </c>
      <c r="I28" s="119">
        <v>0</v>
      </c>
      <c r="J28" s="117">
        <v>0</v>
      </c>
      <c r="K28" s="119">
        <v>0</v>
      </c>
      <c r="L28" s="117">
        <v>0</v>
      </c>
      <c r="M28" s="118"/>
      <c r="N28" s="118"/>
    </row>
    <row r="29" spans="1:14" ht="15.75" customHeight="1" x14ac:dyDescent="0.25">
      <c r="A29" s="64"/>
      <c r="B29" s="112">
        <v>0</v>
      </c>
      <c r="C29" s="113">
        <v>0</v>
      </c>
      <c r="D29" s="117">
        <v>0</v>
      </c>
      <c r="E29" s="119">
        <v>0</v>
      </c>
      <c r="F29" s="120">
        <v>0</v>
      </c>
      <c r="G29" s="121">
        <v>0</v>
      </c>
      <c r="H29" s="117">
        <v>0</v>
      </c>
      <c r="I29" s="119">
        <v>0</v>
      </c>
      <c r="J29" s="117">
        <v>0</v>
      </c>
      <c r="K29" s="119">
        <v>18047.572815533982</v>
      </c>
      <c r="L29" s="117">
        <v>-18047.572815533982</v>
      </c>
      <c r="M29" s="118"/>
      <c r="N29" s="118"/>
    </row>
    <row r="30" spans="1:14" ht="15.75" customHeight="1" x14ac:dyDescent="0.25">
      <c r="A30" s="64"/>
      <c r="B30" s="112">
        <v>0</v>
      </c>
      <c r="C30" s="113">
        <v>0</v>
      </c>
      <c r="D30" s="117">
        <v>0</v>
      </c>
      <c r="E30" s="119">
        <v>0</v>
      </c>
      <c r="F30" s="120">
        <v>0</v>
      </c>
      <c r="G30" s="121">
        <v>0</v>
      </c>
      <c r="H30" s="117">
        <v>0</v>
      </c>
      <c r="I30" s="119">
        <v>0</v>
      </c>
      <c r="J30" s="117">
        <v>0</v>
      </c>
      <c r="K30" s="119">
        <v>0</v>
      </c>
      <c r="L30" s="117">
        <v>0</v>
      </c>
      <c r="M30" s="62"/>
      <c r="N30" s="62"/>
    </row>
    <row r="31" spans="1:14" ht="15.75" customHeight="1" x14ac:dyDescent="0.25">
      <c r="A31" s="64"/>
      <c r="B31" s="112">
        <v>0</v>
      </c>
      <c r="C31" s="113">
        <v>0</v>
      </c>
      <c r="D31" s="117">
        <v>0</v>
      </c>
      <c r="E31" s="119">
        <v>0</v>
      </c>
      <c r="F31" s="120">
        <v>0</v>
      </c>
      <c r="G31" s="121">
        <v>0</v>
      </c>
      <c r="H31" s="117">
        <v>0</v>
      </c>
      <c r="I31" s="119">
        <v>0</v>
      </c>
      <c r="J31" s="117">
        <v>0</v>
      </c>
      <c r="K31" s="119">
        <v>0</v>
      </c>
      <c r="L31" s="117">
        <v>0</v>
      </c>
      <c r="M31" s="85"/>
      <c r="N31" s="85"/>
    </row>
    <row r="32" spans="1:14" ht="15.75" customHeight="1" x14ac:dyDescent="0.25">
      <c r="A32" s="64"/>
      <c r="B32" s="112">
        <v>0</v>
      </c>
      <c r="C32" s="113">
        <v>0</v>
      </c>
      <c r="D32" s="117">
        <v>0</v>
      </c>
      <c r="E32" s="119">
        <v>0</v>
      </c>
      <c r="F32" s="120">
        <v>0</v>
      </c>
      <c r="G32" s="121">
        <v>0</v>
      </c>
      <c r="H32" s="117">
        <v>0</v>
      </c>
      <c r="I32" s="119">
        <v>0</v>
      </c>
      <c r="J32" s="117">
        <v>0</v>
      </c>
      <c r="K32" s="119">
        <v>14875.728155339806</v>
      </c>
      <c r="L32" s="117">
        <v>-14875.728155339806</v>
      </c>
      <c r="M32" s="118"/>
      <c r="N32" s="118"/>
    </row>
    <row r="33" spans="1:14" ht="15.75" customHeight="1" x14ac:dyDescent="0.25">
      <c r="A33" s="64"/>
      <c r="B33" s="112">
        <v>0</v>
      </c>
      <c r="C33" s="113">
        <v>0</v>
      </c>
      <c r="D33" s="117">
        <v>0</v>
      </c>
      <c r="E33" s="119">
        <v>0</v>
      </c>
      <c r="F33" s="120">
        <v>0</v>
      </c>
      <c r="G33" s="121">
        <v>0</v>
      </c>
      <c r="H33" s="117">
        <v>0</v>
      </c>
      <c r="I33" s="119">
        <v>0</v>
      </c>
      <c r="J33" s="117">
        <v>0</v>
      </c>
      <c r="K33" s="119">
        <v>0</v>
      </c>
      <c r="L33" s="117">
        <v>0</v>
      </c>
      <c r="M33" s="62"/>
      <c r="N33" s="62"/>
    </row>
    <row r="34" spans="1:14" ht="15.75" customHeight="1" x14ac:dyDescent="0.25">
      <c r="A34" s="64"/>
      <c r="B34" s="112">
        <v>0</v>
      </c>
      <c r="C34" s="113">
        <v>0</v>
      </c>
      <c r="D34" s="117">
        <v>0</v>
      </c>
      <c r="E34" s="119">
        <v>0</v>
      </c>
      <c r="F34" s="120">
        <v>0</v>
      </c>
      <c r="G34" s="121">
        <v>0</v>
      </c>
      <c r="H34" s="117">
        <v>0</v>
      </c>
      <c r="I34" s="119">
        <v>0</v>
      </c>
      <c r="J34" s="117">
        <v>0</v>
      </c>
      <c r="K34" s="119">
        <v>0</v>
      </c>
      <c r="L34" s="117">
        <v>0</v>
      </c>
      <c r="M34" s="62"/>
      <c r="N34" s="62"/>
    </row>
    <row r="35" spans="1:14" ht="15.75" customHeight="1" x14ac:dyDescent="0.25">
      <c r="A35" s="64"/>
      <c r="B35" s="112">
        <v>0</v>
      </c>
      <c r="C35" s="113">
        <v>0</v>
      </c>
      <c r="D35" s="117">
        <v>0</v>
      </c>
      <c r="E35" s="119">
        <v>0</v>
      </c>
      <c r="F35" s="120">
        <v>0</v>
      </c>
      <c r="G35" s="121">
        <v>0</v>
      </c>
      <c r="H35" s="117">
        <v>0</v>
      </c>
      <c r="I35" s="119">
        <v>0</v>
      </c>
      <c r="J35" s="117">
        <v>0</v>
      </c>
      <c r="K35" s="119">
        <v>12923.300970873786</v>
      </c>
      <c r="L35" s="117">
        <v>-12923.300970873786</v>
      </c>
      <c r="M35" s="62"/>
      <c r="N35" s="62"/>
    </row>
    <row r="36" spans="1:14" ht="15.75" customHeight="1" x14ac:dyDescent="0.25">
      <c r="A36" s="64"/>
      <c r="B36" s="112">
        <v>0</v>
      </c>
      <c r="C36" s="113">
        <v>0</v>
      </c>
      <c r="D36" s="117">
        <v>0</v>
      </c>
      <c r="E36" s="119">
        <v>0</v>
      </c>
      <c r="F36" s="120">
        <v>0</v>
      </c>
      <c r="G36" s="121">
        <v>0</v>
      </c>
      <c r="H36" s="117">
        <v>0</v>
      </c>
      <c r="I36" s="119">
        <v>0</v>
      </c>
      <c r="J36" s="117">
        <v>0</v>
      </c>
      <c r="K36" s="119">
        <v>0</v>
      </c>
      <c r="L36" s="117">
        <v>0</v>
      </c>
      <c r="M36" s="62"/>
      <c r="N36" s="62"/>
    </row>
    <row r="37" spans="1:14" ht="15.75" customHeight="1" x14ac:dyDescent="0.25">
      <c r="A37" s="64"/>
      <c r="B37" s="112">
        <v>0</v>
      </c>
      <c r="C37" s="113">
        <v>0</v>
      </c>
      <c r="D37" s="117">
        <v>0</v>
      </c>
      <c r="E37" s="119">
        <v>0</v>
      </c>
      <c r="F37" s="120">
        <v>0</v>
      </c>
      <c r="G37" s="121">
        <v>0</v>
      </c>
      <c r="H37" s="117">
        <v>0</v>
      </c>
      <c r="I37" s="119">
        <v>0</v>
      </c>
      <c r="J37" s="117">
        <v>0</v>
      </c>
      <c r="K37" s="119">
        <v>0</v>
      </c>
      <c r="L37" s="117">
        <v>0</v>
      </c>
      <c r="M37" s="62"/>
      <c r="N37" s="62"/>
    </row>
    <row r="38" spans="1:14" ht="15.75" customHeight="1" x14ac:dyDescent="0.25">
      <c r="A38" s="64"/>
      <c r="B38" s="112">
        <v>0</v>
      </c>
      <c r="C38" s="113">
        <v>0</v>
      </c>
      <c r="D38" s="117">
        <v>0</v>
      </c>
      <c r="E38" s="119">
        <v>0</v>
      </c>
      <c r="F38" s="120">
        <v>0</v>
      </c>
      <c r="G38" s="121">
        <v>0</v>
      </c>
      <c r="H38" s="117">
        <v>0</v>
      </c>
      <c r="I38" s="119">
        <v>0</v>
      </c>
      <c r="J38" s="117">
        <v>0</v>
      </c>
      <c r="K38" s="119">
        <v>10484.466019417476</v>
      </c>
      <c r="L38" s="117">
        <v>-10484.466019417476</v>
      </c>
      <c r="M38" s="62"/>
      <c r="N38" s="62"/>
    </row>
    <row r="39" spans="1:14" ht="15.75" customHeight="1" x14ac:dyDescent="0.25">
      <c r="A39" s="64"/>
      <c r="B39" s="112">
        <v>0</v>
      </c>
      <c r="C39" s="113">
        <v>0</v>
      </c>
      <c r="D39" s="117">
        <v>0</v>
      </c>
      <c r="E39" s="119">
        <v>0</v>
      </c>
      <c r="F39" s="120">
        <v>0</v>
      </c>
      <c r="G39" s="121">
        <v>0</v>
      </c>
      <c r="H39" s="117">
        <v>0</v>
      </c>
      <c r="I39" s="119">
        <v>0</v>
      </c>
      <c r="J39" s="117">
        <v>0</v>
      </c>
      <c r="K39" s="119">
        <v>0</v>
      </c>
      <c r="L39" s="117">
        <v>0</v>
      </c>
      <c r="M39" s="62"/>
      <c r="N39" s="62"/>
    </row>
    <row r="40" spans="1:14" ht="15.75" customHeight="1" x14ac:dyDescent="0.25">
      <c r="A40" s="63"/>
      <c r="B40" s="122">
        <v>0</v>
      </c>
      <c r="C40" s="123">
        <v>0</v>
      </c>
      <c r="D40" s="124">
        <v>0</v>
      </c>
      <c r="E40" s="125">
        <v>0</v>
      </c>
      <c r="F40" s="126">
        <v>0</v>
      </c>
      <c r="G40" s="123">
        <v>0</v>
      </c>
      <c r="H40" s="124">
        <v>0</v>
      </c>
      <c r="I40" s="125">
        <v>0</v>
      </c>
      <c r="J40" s="124">
        <v>0</v>
      </c>
      <c r="K40" s="125">
        <v>0</v>
      </c>
      <c r="L40" s="124">
        <v>0</v>
      </c>
      <c r="M40" s="62"/>
      <c r="N40" s="62"/>
    </row>
    <row r="41" spans="1:14" ht="15.75" customHeight="1" x14ac:dyDescent="0.25">
      <c r="A41" s="63"/>
      <c r="B41" s="122">
        <v>0</v>
      </c>
      <c r="C41" s="123">
        <v>0</v>
      </c>
      <c r="D41" s="124">
        <v>0</v>
      </c>
      <c r="E41" s="125">
        <v>0</v>
      </c>
      <c r="F41" s="126">
        <v>0</v>
      </c>
      <c r="G41" s="123">
        <v>0</v>
      </c>
      <c r="H41" s="124">
        <v>0</v>
      </c>
      <c r="I41" s="125">
        <v>0</v>
      </c>
      <c r="J41" s="124">
        <v>0</v>
      </c>
      <c r="K41" s="125">
        <v>8871.844660194176</v>
      </c>
      <c r="L41" s="124">
        <v>-8871.844660194176</v>
      </c>
      <c r="M41" s="62"/>
      <c r="N41" s="62"/>
    </row>
    <row r="42" spans="1:14" ht="15.75" customHeight="1" x14ac:dyDescent="0.25">
      <c r="A42" s="63"/>
      <c r="B42" s="122">
        <v>0</v>
      </c>
      <c r="C42" s="123">
        <v>0</v>
      </c>
      <c r="D42" s="124">
        <v>0</v>
      </c>
      <c r="E42" s="125">
        <v>0</v>
      </c>
      <c r="F42" s="126">
        <v>0</v>
      </c>
      <c r="G42" s="123">
        <v>0</v>
      </c>
      <c r="H42" s="124">
        <v>0</v>
      </c>
      <c r="I42" s="125">
        <v>0</v>
      </c>
      <c r="J42" s="124">
        <v>0</v>
      </c>
      <c r="K42" s="125">
        <v>0</v>
      </c>
      <c r="L42" s="124">
        <v>0</v>
      </c>
      <c r="M42" s="62"/>
      <c r="N42" s="62"/>
    </row>
    <row r="43" spans="1:14" ht="15.75" customHeight="1" x14ac:dyDescent="0.25">
      <c r="A43" s="63"/>
      <c r="B43" s="122">
        <v>0</v>
      </c>
      <c r="C43" s="123">
        <v>0</v>
      </c>
      <c r="D43" s="124">
        <v>0</v>
      </c>
      <c r="E43" s="125">
        <v>0</v>
      </c>
      <c r="F43" s="126">
        <v>0</v>
      </c>
      <c r="G43" s="123">
        <v>0</v>
      </c>
      <c r="H43" s="124">
        <v>0</v>
      </c>
      <c r="I43" s="125">
        <v>0</v>
      </c>
      <c r="J43" s="124">
        <v>0</v>
      </c>
      <c r="K43" s="125">
        <v>0</v>
      </c>
      <c r="L43" s="124">
        <v>0</v>
      </c>
      <c r="M43" s="62"/>
      <c r="N43" s="62"/>
    </row>
    <row r="44" spans="1:14" ht="15.75" customHeight="1" x14ac:dyDescent="0.25">
      <c r="A44" s="63"/>
      <c r="B44" s="127">
        <v>0</v>
      </c>
      <c r="C44" s="128">
        <v>0</v>
      </c>
      <c r="D44" s="129">
        <v>0</v>
      </c>
      <c r="E44" s="130">
        <v>0</v>
      </c>
      <c r="F44" s="131">
        <v>0</v>
      </c>
      <c r="G44" s="128">
        <v>0</v>
      </c>
      <c r="H44" s="129">
        <v>0</v>
      </c>
      <c r="I44" s="130">
        <v>0</v>
      </c>
      <c r="J44" s="129">
        <v>0</v>
      </c>
      <c r="K44" s="130">
        <v>8715.5339805825242</v>
      </c>
      <c r="L44" s="129">
        <v>-8715.5339805825242</v>
      </c>
      <c r="M44" s="62"/>
      <c r="N44" s="62"/>
    </row>
  </sheetData>
  <sheetProtection algorithmName="SHA-512" hashValue="/ujJk2tqwUlMKj+iYWQlT1534XlEd+uEVOrRcpZrumKbn4QTFYeB2pQR5P0JCazWO3Wc/+4xmdQPjL8BtU7byg==" saltValue="Zwidt/OWHAyG++dtOS4gdw==" spinCount="100000" sheet="1" objects="1" scenarios="1" formatCells="0" formatColumns="0" formatRows="0"/>
  <mergeCells count="9">
    <mergeCell ref="I13:J13"/>
    <mergeCell ref="K13:L13"/>
    <mergeCell ref="C2:H2"/>
    <mergeCell ref="D3:E3"/>
    <mergeCell ref="E4:E9"/>
    <mergeCell ref="B11:J11"/>
    <mergeCell ref="C13:D13"/>
    <mergeCell ref="E13:F13"/>
    <mergeCell ref="G13:H1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D9EEB"/>
    <outlinePr summaryBelow="0" summaryRight="0"/>
  </sheetPr>
  <dimension ref="A1:AA41"/>
  <sheetViews>
    <sheetView showGridLines="0" showRowColHeaders="0" tabSelected="1" zoomScale="90" zoomScaleNormal="90" workbookViewId="0"/>
  </sheetViews>
  <sheetFormatPr defaultColWidth="14.44140625" defaultRowHeight="15" customHeight="1" x14ac:dyDescent="0.25"/>
  <cols>
    <col min="1" max="1" width="5.88671875" customWidth="1"/>
    <col min="2" max="2" width="11.33203125" customWidth="1"/>
    <col min="3" max="3" width="10.88671875" customWidth="1"/>
    <col min="4" max="4" width="9" customWidth="1"/>
    <col min="5" max="5" width="11.33203125" customWidth="1"/>
    <col min="6" max="6" width="10.88671875" customWidth="1"/>
    <col min="7" max="7" width="10.109375" customWidth="1"/>
    <col min="8" max="8" width="11.44140625" customWidth="1"/>
    <col min="9" max="9" width="9.44140625" customWidth="1"/>
    <col min="10" max="12" width="8.109375" customWidth="1"/>
    <col min="13" max="13" width="13.5546875" customWidth="1"/>
    <col min="14" max="14" width="11.109375" customWidth="1"/>
    <col min="15" max="15" width="12.88671875" customWidth="1"/>
    <col min="16" max="16" width="14.109375" customWidth="1"/>
    <col min="17" max="17" width="12" customWidth="1"/>
    <col min="18" max="18" width="2" customWidth="1"/>
    <col min="19" max="19" width="11.44140625" customWidth="1"/>
    <col min="20" max="20" width="9.33203125" customWidth="1"/>
    <col min="21" max="21" width="12.88671875" customWidth="1"/>
    <col min="22" max="22" width="2" customWidth="1"/>
    <col min="23" max="23" width="13.33203125" customWidth="1"/>
    <col min="24" max="24" width="13.109375" customWidth="1"/>
    <col min="25" max="25" width="4.6640625" customWidth="1"/>
  </cols>
  <sheetData>
    <row r="1" spans="1:27" ht="13.2" x14ac:dyDescent="0.25">
      <c r="A1" s="61"/>
      <c r="B1" s="132" t="s">
        <v>49</v>
      </c>
      <c r="C1" s="133"/>
      <c r="D1" s="133"/>
      <c r="E1" s="61"/>
      <c r="F1" s="61"/>
      <c r="G1" s="61"/>
      <c r="H1" s="61"/>
      <c r="I1" s="61"/>
      <c r="J1" s="61"/>
      <c r="K1" s="61"/>
      <c r="L1" s="61"/>
      <c r="M1" s="61"/>
      <c r="N1" s="61"/>
      <c r="O1" s="61"/>
      <c r="P1" s="61"/>
      <c r="Q1" s="61"/>
      <c r="R1" s="61"/>
      <c r="S1" s="61"/>
      <c r="T1" s="61"/>
      <c r="U1" s="62"/>
      <c r="V1" s="61"/>
      <c r="W1" s="62"/>
      <c r="X1" s="62"/>
      <c r="Y1" s="62"/>
      <c r="Z1" s="62"/>
      <c r="AA1" s="62"/>
    </row>
    <row r="2" spans="1:27" ht="13.2" x14ac:dyDescent="0.25">
      <c r="A2" s="63"/>
      <c r="B2" s="132" t="s">
        <v>50</v>
      </c>
      <c r="C2" s="132"/>
      <c r="D2" s="132"/>
      <c r="E2" s="63"/>
      <c r="F2" s="63"/>
      <c r="G2" s="63"/>
      <c r="H2" s="63"/>
      <c r="I2" s="63"/>
      <c r="J2" s="63"/>
      <c r="K2" s="63"/>
      <c r="L2" s="63"/>
      <c r="M2" s="63"/>
      <c r="N2" s="63"/>
      <c r="O2" s="63"/>
      <c r="P2" s="63"/>
      <c r="Q2" s="63"/>
      <c r="R2" s="63"/>
      <c r="S2" s="63"/>
      <c r="T2" s="63"/>
      <c r="U2" s="62"/>
      <c r="V2" s="63"/>
      <c r="W2" s="62"/>
      <c r="X2" s="62"/>
      <c r="Y2" s="62"/>
      <c r="Z2" s="62"/>
      <c r="AA2" s="62"/>
    </row>
    <row r="3" spans="1:27" ht="13.2" x14ac:dyDescent="0.25">
      <c r="A3" s="65"/>
      <c r="B3" s="134"/>
      <c r="C3" s="135" t="s">
        <v>14</v>
      </c>
      <c r="D3" s="136">
        <f>DR</f>
        <v>0.1</v>
      </c>
      <c r="F3" s="137"/>
      <c r="G3" s="138"/>
      <c r="H3" s="16" t="str">
        <f>SP&amp;" Year Undiscounted Costs:"</f>
        <v>10 Year Undiscounted Costs:</v>
      </c>
      <c r="I3" s="300">
        <f>SUM(W12:W41)</f>
        <v>276554.6245099199</v>
      </c>
      <c r="J3" s="301"/>
      <c r="K3" s="62"/>
      <c r="N3" s="139"/>
      <c r="O3" s="139"/>
      <c r="P3" s="139"/>
      <c r="R3" s="62"/>
      <c r="S3" s="62"/>
      <c r="T3" s="62"/>
      <c r="U3" s="62"/>
      <c r="V3" s="62"/>
      <c r="W3" s="62"/>
      <c r="X3" s="62"/>
      <c r="Y3" s="62"/>
      <c r="Z3" s="62"/>
      <c r="AA3" s="62"/>
    </row>
    <row r="4" spans="1:27" ht="13.2" x14ac:dyDescent="0.25">
      <c r="A4" s="65"/>
      <c r="B4" s="140"/>
      <c r="C4" s="141" t="s">
        <v>16</v>
      </c>
      <c r="D4" s="142">
        <f>Inf</f>
        <v>0.03</v>
      </c>
      <c r="F4" s="143"/>
      <c r="G4" s="144"/>
      <c r="H4" s="141" t="str">
        <f>"NPV SQ "&amp;SP&amp;" Year Total:"</f>
        <v>NPV SQ 10 Year Total:</v>
      </c>
      <c r="I4" s="302">
        <f>SUM(X12:X41)</f>
        <v>166063.4328083838</v>
      </c>
      <c r="J4" s="303"/>
      <c r="K4" s="62"/>
      <c r="N4" s="145"/>
      <c r="O4" s="64"/>
      <c r="P4" s="146"/>
      <c r="R4" s="62"/>
      <c r="S4" s="62"/>
      <c r="T4" s="62"/>
      <c r="U4" s="62"/>
      <c r="V4" s="62"/>
      <c r="W4" s="62"/>
      <c r="X4" s="62"/>
      <c r="Y4" s="62"/>
      <c r="Z4" s="62"/>
      <c r="AA4" s="62"/>
    </row>
    <row r="5" spans="1:27" ht="13.2" x14ac:dyDescent="0.25">
      <c r="A5" s="65"/>
      <c r="B5" s="140"/>
      <c r="C5" s="141" t="s">
        <v>15</v>
      </c>
      <c r="D5" s="147">
        <f>SP</f>
        <v>10</v>
      </c>
      <c r="F5" s="148"/>
      <c r="G5" s="149"/>
      <c r="H5" s="150" t="s">
        <v>51</v>
      </c>
      <c r="I5" s="304">
        <f t="array" ref="I5">NPV(DR,W12:W41)</f>
        <v>166063.43280838375</v>
      </c>
      <c r="J5" s="305"/>
      <c r="K5" s="62"/>
      <c r="L5" s="62"/>
      <c r="M5" s="62"/>
      <c r="N5" s="62"/>
      <c r="R5" s="62"/>
      <c r="S5" s="62"/>
      <c r="T5" s="62"/>
      <c r="U5" s="62"/>
      <c r="V5" s="62"/>
      <c r="W5" s="62"/>
      <c r="X5" s="62"/>
      <c r="Y5" s="62"/>
      <c r="Z5" s="62"/>
      <c r="AA5" s="62"/>
    </row>
    <row r="6" spans="1:27" ht="13.2" x14ac:dyDescent="0.25">
      <c r="A6" s="65"/>
      <c r="B6" s="151"/>
      <c r="C6" s="150" t="s">
        <v>52</v>
      </c>
      <c r="D6" s="240">
        <v>0</v>
      </c>
      <c r="F6" s="85"/>
      <c r="I6" s="85"/>
      <c r="J6" s="86"/>
      <c r="K6" s="62"/>
      <c r="L6" s="62"/>
      <c r="O6" s="141"/>
      <c r="P6" s="152"/>
      <c r="R6" s="62"/>
      <c r="S6" s="62"/>
      <c r="T6" s="62"/>
      <c r="U6" s="62"/>
      <c r="V6" s="62"/>
      <c r="W6" s="62"/>
      <c r="X6" s="62"/>
      <c r="Y6" s="62"/>
      <c r="Z6" s="62"/>
      <c r="AA6" s="62"/>
    </row>
    <row r="7" spans="1:27" ht="13.2" x14ac:dyDescent="0.25">
      <c r="A7" s="65"/>
      <c r="B7" s="85"/>
      <c r="C7" s="85"/>
      <c r="D7" s="85"/>
      <c r="E7" s="85"/>
      <c r="F7" s="85"/>
      <c r="H7" s="141"/>
      <c r="I7" s="92"/>
      <c r="J7" s="92"/>
      <c r="K7" s="62"/>
      <c r="L7" s="62"/>
      <c r="O7" s="141"/>
      <c r="P7" s="153"/>
      <c r="R7" s="62"/>
      <c r="S7" s="62"/>
      <c r="T7" s="62"/>
      <c r="U7" s="62"/>
      <c r="V7" s="62"/>
      <c r="W7" s="62"/>
      <c r="X7" s="62"/>
      <c r="Y7" s="62"/>
      <c r="Z7" s="62"/>
      <c r="AA7" s="62"/>
    </row>
    <row r="8" spans="1:27" ht="13.2" x14ac:dyDescent="0.25">
      <c r="A8" s="65"/>
      <c r="B8" s="85"/>
      <c r="C8" s="85"/>
      <c r="D8" s="85"/>
      <c r="E8" s="85"/>
      <c r="F8" s="85"/>
      <c r="G8" s="85"/>
      <c r="H8" s="85"/>
      <c r="I8" s="85"/>
      <c r="J8" s="85"/>
      <c r="K8" s="85"/>
      <c r="L8" s="85"/>
      <c r="M8" s="86"/>
      <c r="N8" s="62"/>
      <c r="O8" s="141"/>
      <c r="P8" s="78"/>
      <c r="Q8" s="62"/>
      <c r="R8" s="62"/>
      <c r="S8" s="62"/>
      <c r="T8" s="62"/>
      <c r="U8" s="62"/>
      <c r="V8" s="62"/>
      <c r="W8" s="62"/>
      <c r="X8" s="62"/>
      <c r="Y8" s="62"/>
      <c r="Z8" s="62"/>
      <c r="AA8" s="62"/>
    </row>
    <row r="9" spans="1:27" ht="13.8" x14ac:dyDescent="0.25">
      <c r="A9" s="65"/>
      <c r="B9" s="306" t="s">
        <v>53</v>
      </c>
      <c r="C9" s="277"/>
      <c r="D9" s="277"/>
      <c r="E9" s="277"/>
      <c r="F9" s="277"/>
      <c r="G9" s="277"/>
      <c r="H9" s="277"/>
      <c r="I9" s="277"/>
      <c r="J9" s="277"/>
      <c r="K9" s="277"/>
      <c r="L9" s="277"/>
      <c r="M9" s="277"/>
      <c r="N9" s="277"/>
      <c r="O9" s="277"/>
      <c r="P9" s="277"/>
      <c r="Q9" s="277"/>
      <c r="R9" s="154"/>
      <c r="S9" s="297" t="s">
        <v>54</v>
      </c>
      <c r="T9" s="277"/>
      <c r="U9" s="277"/>
      <c r="V9" s="64"/>
      <c r="W9" s="297" t="s">
        <v>55</v>
      </c>
      <c r="X9" s="277"/>
      <c r="Y9" s="277"/>
      <c r="Z9" s="62"/>
      <c r="AA9" s="62"/>
    </row>
    <row r="10" spans="1:27" ht="13.2" x14ac:dyDescent="0.25">
      <c r="A10" s="103"/>
      <c r="B10" s="155"/>
      <c r="C10" s="156" t="s">
        <v>56</v>
      </c>
      <c r="D10" s="141"/>
      <c r="E10" s="157"/>
      <c r="F10" s="64"/>
      <c r="G10" s="64"/>
      <c r="H10" s="154"/>
      <c r="I10" s="64"/>
      <c r="J10" s="64"/>
      <c r="K10" s="64"/>
      <c r="L10" s="64"/>
      <c r="M10" s="156" t="s">
        <v>57</v>
      </c>
      <c r="N10" s="64"/>
      <c r="O10" s="64"/>
      <c r="P10" s="103"/>
      <c r="Q10" s="103"/>
      <c r="R10" s="105"/>
      <c r="S10" s="24"/>
      <c r="T10" s="158" t="s">
        <v>58</v>
      </c>
      <c r="U10" s="24"/>
      <c r="V10" s="105"/>
      <c r="W10" s="105"/>
      <c r="X10" s="105"/>
      <c r="Y10" s="105"/>
      <c r="Z10" s="105"/>
      <c r="AA10" s="105"/>
    </row>
    <row r="11" spans="1:27" ht="63.75" customHeight="1" thickBot="1" x14ac:dyDescent="0.3">
      <c r="A11" s="159" t="s">
        <v>46</v>
      </c>
      <c r="B11" s="160" t="s">
        <v>59</v>
      </c>
      <c r="C11" s="161" t="s">
        <v>60</v>
      </c>
      <c r="D11" s="162" t="s">
        <v>61</v>
      </c>
      <c r="E11" s="163" t="s">
        <v>62</v>
      </c>
      <c r="F11" s="164" t="s">
        <v>63</v>
      </c>
      <c r="G11" s="164" t="s">
        <v>64</v>
      </c>
      <c r="H11" s="163" t="s">
        <v>65</v>
      </c>
      <c r="I11" s="164" t="s">
        <v>66</v>
      </c>
      <c r="J11" s="163" t="s">
        <v>67</v>
      </c>
      <c r="K11" s="163" t="s">
        <v>67</v>
      </c>
      <c r="L11" s="161" t="s">
        <v>67</v>
      </c>
      <c r="M11" s="165" t="s">
        <v>68</v>
      </c>
      <c r="N11" s="162" t="s">
        <v>69</v>
      </c>
      <c r="O11" s="166" t="s">
        <v>70</v>
      </c>
      <c r="P11" s="167" t="s">
        <v>71</v>
      </c>
      <c r="Q11" s="168" t="s">
        <v>72</v>
      </c>
      <c r="R11" s="169"/>
      <c r="S11" s="170" t="s">
        <v>73</v>
      </c>
      <c r="T11" s="163" t="s">
        <v>74</v>
      </c>
      <c r="U11" s="171" t="s">
        <v>75</v>
      </c>
      <c r="V11" s="169"/>
      <c r="W11" s="170" t="s">
        <v>76</v>
      </c>
      <c r="X11" s="168" t="s">
        <v>77</v>
      </c>
      <c r="Y11" s="172"/>
      <c r="Z11" s="172"/>
      <c r="AA11" s="172"/>
    </row>
    <row r="12" spans="1:27" ht="15.75" customHeight="1" thickBot="1" x14ac:dyDescent="0.3">
      <c r="A12" s="64" cm="1">
        <f t="array" ref="A12:A21">_xlfn.SEQUENCE(SP)</f>
        <v>1</v>
      </c>
      <c r="B12" s="242">
        <v>0</v>
      </c>
      <c r="C12" s="243">
        <v>0</v>
      </c>
      <c r="D12" s="242">
        <v>20</v>
      </c>
      <c r="E12" s="248">
        <v>5000</v>
      </c>
      <c r="F12" s="248">
        <v>10000</v>
      </c>
      <c r="G12" s="248">
        <v>3000</v>
      </c>
      <c r="H12" s="248">
        <v>1000</v>
      </c>
      <c r="I12" s="248">
        <v>5</v>
      </c>
      <c r="J12" s="248"/>
      <c r="K12" s="248"/>
      <c r="L12" s="243"/>
      <c r="M12" s="173">
        <f t="array" ref="M12:M41">B12:B41+C12:C41+D12:D41+E12:E41+F12:F41+G12:G41+H12:H41+I12:I41+J12:J41+K12:K41+L12:L41</f>
        <v>19025</v>
      </c>
      <c r="N12" s="242">
        <v>100</v>
      </c>
      <c r="O12" s="243">
        <v>5000</v>
      </c>
      <c r="P12" s="174">
        <f t="array" ref="P12:P41">M12:M41+N12:N41+O12:O41</f>
        <v>24125</v>
      </c>
      <c r="Q12" s="175">
        <f t="array" ref="Q12:Q41">P12:P41*((1+Inf)^(A12:A41-1))</f>
        <v>24125</v>
      </c>
      <c r="R12" s="176"/>
      <c r="S12" s="177">
        <f t="array" ref="S12:S41">B12:B41*$D$6</f>
        <v>0</v>
      </c>
      <c r="T12" s="251">
        <v>1</v>
      </c>
      <c r="U12" s="178">
        <f t="array" ref="U12:U41">(S12:S41+T12:T41)*((1+Inf)^(A12:A41-1))</f>
        <v>1</v>
      </c>
      <c r="V12" s="176"/>
      <c r="W12" s="179">
        <f t="array" ref="W12:W41">Q12:Q41-U12:U41</f>
        <v>24124</v>
      </c>
      <c r="X12" s="175">
        <f t="array" ref="X12:X41">W12:W41/(1+DR)^A12:A41</f>
        <v>21930.909090909088</v>
      </c>
      <c r="Y12" s="62"/>
      <c r="Z12" s="62"/>
      <c r="AA12" s="62"/>
    </row>
    <row r="13" spans="1:27" ht="15.75" customHeight="1" thickTop="1" thickBot="1" x14ac:dyDescent="0.3">
      <c r="A13" s="64">
        <v>2</v>
      </c>
      <c r="B13" s="244">
        <v>0</v>
      </c>
      <c r="C13" s="245">
        <v>0</v>
      </c>
      <c r="D13" s="244">
        <v>20</v>
      </c>
      <c r="E13" s="249">
        <v>5000</v>
      </c>
      <c r="F13" s="249">
        <v>10000</v>
      </c>
      <c r="G13" s="249">
        <v>3000</v>
      </c>
      <c r="H13" s="249">
        <v>1000</v>
      </c>
      <c r="I13" s="249">
        <v>5</v>
      </c>
      <c r="J13" s="249"/>
      <c r="K13" s="249"/>
      <c r="L13" s="245"/>
      <c r="M13" s="173">
        <v>19025</v>
      </c>
      <c r="N13" s="244">
        <v>100</v>
      </c>
      <c r="O13" s="245">
        <v>5000</v>
      </c>
      <c r="P13" s="174">
        <v>24125</v>
      </c>
      <c r="Q13" s="175">
        <v>24848.75</v>
      </c>
      <c r="R13" s="176"/>
      <c r="S13" s="177">
        <v>0</v>
      </c>
      <c r="T13" s="252">
        <v>1</v>
      </c>
      <c r="U13" s="178">
        <v>1.03</v>
      </c>
      <c r="V13" s="176"/>
      <c r="W13" s="179">
        <v>24847.72</v>
      </c>
      <c r="X13" s="175">
        <v>20535.305785123965</v>
      </c>
      <c r="Y13" s="118"/>
      <c r="Z13" s="118"/>
      <c r="AA13" s="118"/>
    </row>
    <row r="14" spans="1:27" ht="15.75" customHeight="1" thickTop="1" thickBot="1" x14ac:dyDescent="0.3">
      <c r="A14" s="64">
        <v>3</v>
      </c>
      <c r="B14" s="244">
        <v>0</v>
      </c>
      <c r="C14" s="245">
        <v>0</v>
      </c>
      <c r="D14" s="244">
        <v>20</v>
      </c>
      <c r="E14" s="249">
        <v>5000</v>
      </c>
      <c r="F14" s="249">
        <v>10000</v>
      </c>
      <c r="G14" s="249">
        <v>3000</v>
      </c>
      <c r="H14" s="249">
        <v>1000</v>
      </c>
      <c r="I14" s="249">
        <v>5</v>
      </c>
      <c r="J14" s="249"/>
      <c r="K14" s="249"/>
      <c r="L14" s="245"/>
      <c r="M14" s="173">
        <v>19025</v>
      </c>
      <c r="N14" s="244">
        <v>100</v>
      </c>
      <c r="O14" s="245">
        <v>5000</v>
      </c>
      <c r="P14" s="174">
        <v>24125</v>
      </c>
      <c r="Q14" s="175">
        <v>25594.212499999998</v>
      </c>
      <c r="R14" s="176"/>
      <c r="S14" s="177">
        <v>0</v>
      </c>
      <c r="T14" s="252">
        <v>1</v>
      </c>
      <c r="U14" s="178">
        <v>1.0609</v>
      </c>
      <c r="V14" s="176"/>
      <c r="W14" s="179">
        <v>25593.151599999997</v>
      </c>
      <c r="X14" s="175">
        <v>19228.51359879789</v>
      </c>
      <c r="Y14" s="118"/>
      <c r="Z14" s="118"/>
      <c r="AA14" s="118"/>
    </row>
    <row r="15" spans="1:27" ht="15.75" customHeight="1" thickTop="1" thickBot="1" x14ac:dyDescent="0.3">
      <c r="A15" s="64">
        <v>4</v>
      </c>
      <c r="B15" s="244">
        <v>0</v>
      </c>
      <c r="C15" s="245">
        <v>0</v>
      </c>
      <c r="D15" s="244">
        <v>20</v>
      </c>
      <c r="E15" s="249">
        <v>5000</v>
      </c>
      <c r="F15" s="249">
        <v>10000</v>
      </c>
      <c r="G15" s="249">
        <v>3000</v>
      </c>
      <c r="H15" s="249">
        <v>1000</v>
      </c>
      <c r="I15" s="249">
        <v>5</v>
      </c>
      <c r="J15" s="249"/>
      <c r="K15" s="249"/>
      <c r="L15" s="245"/>
      <c r="M15" s="173">
        <v>19025</v>
      </c>
      <c r="N15" s="244">
        <v>100</v>
      </c>
      <c r="O15" s="245">
        <v>5000</v>
      </c>
      <c r="P15" s="174">
        <v>24125</v>
      </c>
      <c r="Q15" s="175">
        <v>26362.038874999998</v>
      </c>
      <c r="R15" s="176"/>
      <c r="S15" s="177">
        <v>0</v>
      </c>
      <c r="T15" s="252">
        <v>1</v>
      </c>
      <c r="U15" s="178">
        <v>1.092727</v>
      </c>
      <c r="V15" s="176"/>
      <c r="W15" s="179">
        <v>26360.946147999999</v>
      </c>
      <c r="X15" s="175">
        <v>18004.880915238024</v>
      </c>
      <c r="Y15" s="118"/>
      <c r="Z15" s="118"/>
      <c r="AA15" s="118"/>
    </row>
    <row r="16" spans="1:27" ht="15.75" customHeight="1" thickTop="1" thickBot="1" x14ac:dyDescent="0.3">
      <c r="A16" s="64">
        <v>5</v>
      </c>
      <c r="B16" s="244">
        <v>0</v>
      </c>
      <c r="C16" s="245">
        <v>0</v>
      </c>
      <c r="D16" s="244">
        <v>20</v>
      </c>
      <c r="E16" s="249">
        <v>5000</v>
      </c>
      <c r="F16" s="249">
        <v>10000</v>
      </c>
      <c r="G16" s="249">
        <v>3000</v>
      </c>
      <c r="H16" s="249">
        <v>1000</v>
      </c>
      <c r="I16" s="249">
        <v>5</v>
      </c>
      <c r="J16" s="249"/>
      <c r="K16" s="249"/>
      <c r="L16" s="245"/>
      <c r="M16" s="173">
        <v>19025</v>
      </c>
      <c r="N16" s="244">
        <v>100</v>
      </c>
      <c r="O16" s="245">
        <v>5000</v>
      </c>
      <c r="P16" s="174">
        <v>24125</v>
      </c>
      <c r="Q16" s="175">
        <v>27152.900041249999</v>
      </c>
      <c r="R16" s="176"/>
      <c r="S16" s="177">
        <v>0</v>
      </c>
      <c r="T16" s="252">
        <v>1</v>
      </c>
      <c r="U16" s="178">
        <v>1.1255088099999999</v>
      </c>
      <c r="V16" s="176"/>
      <c r="W16" s="179">
        <v>27151.774532439998</v>
      </c>
      <c r="X16" s="175">
        <v>16859.115766086514</v>
      </c>
      <c r="Y16" s="118"/>
      <c r="Z16" s="118"/>
      <c r="AA16" s="118"/>
    </row>
    <row r="17" spans="1:27" ht="15.75" customHeight="1" thickTop="1" thickBot="1" x14ac:dyDescent="0.3">
      <c r="A17" s="64">
        <v>6</v>
      </c>
      <c r="B17" s="244">
        <v>0</v>
      </c>
      <c r="C17" s="245">
        <v>0</v>
      </c>
      <c r="D17" s="244">
        <v>20</v>
      </c>
      <c r="E17" s="249">
        <v>5000</v>
      </c>
      <c r="F17" s="249">
        <v>10000</v>
      </c>
      <c r="G17" s="249">
        <v>3000</v>
      </c>
      <c r="H17" s="249">
        <v>1000</v>
      </c>
      <c r="I17" s="249">
        <v>5</v>
      </c>
      <c r="J17" s="249"/>
      <c r="K17" s="249"/>
      <c r="L17" s="245"/>
      <c r="M17" s="173">
        <v>19025</v>
      </c>
      <c r="N17" s="244">
        <v>100</v>
      </c>
      <c r="O17" s="245">
        <v>5000</v>
      </c>
      <c r="P17" s="174">
        <v>24125</v>
      </c>
      <c r="Q17" s="175">
        <v>27967.487042487497</v>
      </c>
      <c r="R17" s="176"/>
      <c r="S17" s="177">
        <v>0</v>
      </c>
      <c r="T17" s="252">
        <v>1</v>
      </c>
      <c r="U17" s="178">
        <v>1.1592740742999998</v>
      </c>
      <c r="V17" s="176"/>
      <c r="W17" s="179">
        <v>27966.327768413197</v>
      </c>
      <c r="X17" s="175">
        <v>15786.262944608277</v>
      </c>
      <c r="Y17" s="118"/>
      <c r="Z17" s="118"/>
      <c r="AA17" s="118"/>
    </row>
    <row r="18" spans="1:27" ht="15.75" customHeight="1" thickTop="1" thickBot="1" x14ac:dyDescent="0.3">
      <c r="A18" s="64">
        <v>7</v>
      </c>
      <c r="B18" s="244">
        <v>0</v>
      </c>
      <c r="C18" s="245">
        <v>0</v>
      </c>
      <c r="D18" s="244">
        <v>20</v>
      </c>
      <c r="E18" s="249">
        <v>5000</v>
      </c>
      <c r="F18" s="249">
        <v>10000</v>
      </c>
      <c r="G18" s="249">
        <v>3000</v>
      </c>
      <c r="H18" s="249">
        <v>1000</v>
      </c>
      <c r="I18" s="249">
        <v>5</v>
      </c>
      <c r="J18" s="249"/>
      <c r="K18" s="249"/>
      <c r="L18" s="245"/>
      <c r="M18" s="173">
        <v>19025</v>
      </c>
      <c r="N18" s="244">
        <v>100</v>
      </c>
      <c r="O18" s="245">
        <v>5000</v>
      </c>
      <c r="P18" s="174">
        <v>24125</v>
      </c>
      <c r="Q18" s="175">
        <v>28806.511653762122</v>
      </c>
      <c r="R18" s="176"/>
      <c r="S18" s="177">
        <v>0</v>
      </c>
      <c r="T18" s="252">
        <v>1</v>
      </c>
      <c r="U18" s="178">
        <v>1.1940522965289999</v>
      </c>
      <c r="V18" s="176"/>
      <c r="W18" s="179">
        <v>28805.317601465591</v>
      </c>
      <c r="X18" s="175">
        <v>14781.682575405928</v>
      </c>
      <c r="Y18" s="118"/>
      <c r="Z18" s="118"/>
      <c r="AA18" s="118"/>
    </row>
    <row r="19" spans="1:27" ht="15.75" customHeight="1" thickTop="1" thickBot="1" x14ac:dyDescent="0.3">
      <c r="A19" s="64">
        <v>8</v>
      </c>
      <c r="B19" s="244">
        <v>0</v>
      </c>
      <c r="C19" s="245">
        <v>0</v>
      </c>
      <c r="D19" s="244">
        <v>20</v>
      </c>
      <c r="E19" s="249">
        <v>5000</v>
      </c>
      <c r="F19" s="249">
        <v>10000</v>
      </c>
      <c r="G19" s="249">
        <v>3000</v>
      </c>
      <c r="H19" s="249">
        <v>1000</v>
      </c>
      <c r="I19" s="249">
        <v>5</v>
      </c>
      <c r="J19" s="249"/>
      <c r="K19" s="249"/>
      <c r="L19" s="245"/>
      <c r="M19" s="173">
        <v>19025</v>
      </c>
      <c r="N19" s="244">
        <v>100</v>
      </c>
      <c r="O19" s="245">
        <v>5000</v>
      </c>
      <c r="P19" s="174">
        <v>24125</v>
      </c>
      <c r="Q19" s="175">
        <v>29670.707003374988</v>
      </c>
      <c r="R19" s="176"/>
      <c r="S19" s="177">
        <v>0</v>
      </c>
      <c r="T19" s="252">
        <v>1</v>
      </c>
      <c r="U19" s="178">
        <v>1.22987386542487</v>
      </c>
      <c r="V19" s="176"/>
      <c r="W19" s="179">
        <v>29669.477129509563</v>
      </c>
      <c r="X19" s="175">
        <v>13841.0300478801</v>
      </c>
      <c r="Y19" s="118"/>
      <c r="Z19" s="118"/>
      <c r="AA19" s="118"/>
    </row>
    <row r="20" spans="1:27" ht="15.75" customHeight="1" thickTop="1" thickBot="1" x14ac:dyDescent="0.3">
      <c r="A20" s="64">
        <v>9</v>
      </c>
      <c r="B20" s="244">
        <v>0</v>
      </c>
      <c r="C20" s="245">
        <v>0</v>
      </c>
      <c r="D20" s="244">
        <v>20</v>
      </c>
      <c r="E20" s="249">
        <v>5000</v>
      </c>
      <c r="F20" s="249">
        <v>10000</v>
      </c>
      <c r="G20" s="249">
        <v>3000</v>
      </c>
      <c r="H20" s="249">
        <v>1000</v>
      </c>
      <c r="I20" s="249">
        <v>5</v>
      </c>
      <c r="J20" s="249"/>
      <c r="K20" s="249"/>
      <c r="L20" s="245"/>
      <c r="M20" s="173">
        <v>19025</v>
      </c>
      <c r="N20" s="244">
        <v>100</v>
      </c>
      <c r="O20" s="245">
        <v>5000</v>
      </c>
      <c r="P20" s="174">
        <v>24125</v>
      </c>
      <c r="Q20" s="175">
        <v>30560.828213476234</v>
      </c>
      <c r="R20" s="176"/>
      <c r="S20" s="177">
        <v>0</v>
      </c>
      <c r="T20" s="252">
        <v>1</v>
      </c>
      <c r="U20" s="178">
        <v>1.2667700813876159</v>
      </c>
      <c r="V20" s="176"/>
      <c r="W20" s="179">
        <v>30559.561443394847</v>
      </c>
      <c r="X20" s="175">
        <v>12960.237226651365</v>
      </c>
      <c r="Y20" s="118"/>
      <c r="Z20" s="118"/>
      <c r="AA20" s="118"/>
    </row>
    <row r="21" spans="1:27" ht="15.75" customHeight="1" thickTop="1" thickBot="1" x14ac:dyDescent="0.3">
      <c r="A21" s="64">
        <v>10</v>
      </c>
      <c r="B21" s="244">
        <v>0</v>
      </c>
      <c r="C21" s="245">
        <v>0</v>
      </c>
      <c r="D21" s="244">
        <v>20</v>
      </c>
      <c r="E21" s="249">
        <v>5000</v>
      </c>
      <c r="F21" s="249">
        <v>10000</v>
      </c>
      <c r="G21" s="249">
        <v>3000</v>
      </c>
      <c r="H21" s="249">
        <v>1000</v>
      </c>
      <c r="I21" s="249">
        <v>5</v>
      </c>
      <c r="J21" s="249"/>
      <c r="K21" s="249"/>
      <c r="L21" s="245"/>
      <c r="M21" s="173">
        <v>19025</v>
      </c>
      <c r="N21" s="244">
        <v>100</v>
      </c>
      <c r="O21" s="245">
        <v>5000</v>
      </c>
      <c r="P21" s="174">
        <v>24125</v>
      </c>
      <c r="Q21" s="175">
        <v>31477.653059880522</v>
      </c>
      <c r="R21" s="176"/>
      <c r="S21" s="177">
        <v>0</v>
      </c>
      <c r="T21" s="252">
        <v>1</v>
      </c>
      <c r="U21" s="178">
        <v>1.3047731838292445</v>
      </c>
      <c r="V21" s="176"/>
      <c r="W21" s="179">
        <v>31476.348286696692</v>
      </c>
      <c r="X21" s="175">
        <v>12135.494857682639</v>
      </c>
      <c r="Y21" s="118"/>
      <c r="Z21" s="118"/>
      <c r="AA21" s="118"/>
    </row>
    <row r="22" spans="1:27" ht="15.75" customHeight="1" thickTop="1" thickBot="1" x14ac:dyDescent="0.3">
      <c r="A22" s="64"/>
      <c r="B22" s="244"/>
      <c r="C22" s="245"/>
      <c r="D22" s="244"/>
      <c r="E22" s="249"/>
      <c r="F22" s="249"/>
      <c r="G22" s="249"/>
      <c r="H22" s="249"/>
      <c r="I22" s="249"/>
      <c r="J22" s="249"/>
      <c r="K22" s="249"/>
      <c r="L22" s="245"/>
      <c r="M22" s="173">
        <v>0</v>
      </c>
      <c r="N22" s="244"/>
      <c r="O22" s="245"/>
      <c r="P22" s="174">
        <v>0</v>
      </c>
      <c r="Q22" s="175">
        <v>0</v>
      </c>
      <c r="R22" s="176"/>
      <c r="S22" s="177">
        <v>0</v>
      </c>
      <c r="T22" s="252"/>
      <c r="U22" s="178">
        <v>0</v>
      </c>
      <c r="V22" s="176"/>
      <c r="W22" s="179">
        <v>0</v>
      </c>
      <c r="X22" s="175">
        <v>0</v>
      </c>
      <c r="Y22" s="118"/>
      <c r="Z22" s="118"/>
      <c r="AA22" s="118"/>
    </row>
    <row r="23" spans="1:27" ht="15.75" customHeight="1" thickTop="1" thickBot="1" x14ac:dyDescent="0.3">
      <c r="A23" s="64"/>
      <c r="B23" s="244"/>
      <c r="C23" s="245"/>
      <c r="D23" s="244"/>
      <c r="E23" s="249"/>
      <c r="F23" s="249"/>
      <c r="G23" s="249"/>
      <c r="H23" s="249"/>
      <c r="I23" s="249"/>
      <c r="J23" s="249"/>
      <c r="K23" s="249"/>
      <c r="L23" s="245"/>
      <c r="M23" s="173">
        <v>0</v>
      </c>
      <c r="N23" s="244"/>
      <c r="O23" s="245"/>
      <c r="P23" s="174">
        <v>0</v>
      </c>
      <c r="Q23" s="175">
        <v>0</v>
      </c>
      <c r="R23" s="176"/>
      <c r="S23" s="177">
        <v>0</v>
      </c>
      <c r="T23" s="252"/>
      <c r="U23" s="178">
        <v>0</v>
      </c>
      <c r="V23" s="176"/>
      <c r="W23" s="179">
        <v>0</v>
      </c>
      <c r="X23" s="175">
        <v>0</v>
      </c>
      <c r="Y23" s="62"/>
      <c r="Z23" s="62"/>
      <c r="AA23" s="62"/>
    </row>
    <row r="24" spans="1:27" ht="15.75" customHeight="1" thickTop="1" thickBot="1" x14ac:dyDescent="0.3">
      <c r="A24" s="64"/>
      <c r="B24" s="244"/>
      <c r="C24" s="245"/>
      <c r="D24" s="244"/>
      <c r="E24" s="249"/>
      <c r="F24" s="249"/>
      <c r="G24" s="249"/>
      <c r="H24" s="249"/>
      <c r="I24" s="249"/>
      <c r="J24" s="249"/>
      <c r="K24" s="249"/>
      <c r="L24" s="245"/>
      <c r="M24" s="173">
        <v>0</v>
      </c>
      <c r="N24" s="244"/>
      <c r="O24" s="245"/>
      <c r="P24" s="174">
        <v>0</v>
      </c>
      <c r="Q24" s="175">
        <v>0</v>
      </c>
      <c r="R24" s="176"/>
      <c r="S24" s="177">
        <v>0</v>
      </c>
      <c r="T24" s="252"/>
      <c r="U24" s="178">
        <v>0</v>
      </c>
      <c r="V24" s="176"/>
      <c r="W24" s="179">
        <v>0</v>
      </c>
      <c r="X24" s="175">
        <v>0</v>
      </c>
      <c r="Y24" s="118"/>
      <c r="Z24" s="118"/>
      <c r="AA24" s="118"/>
    </row>
    <row r="25" spans="1:27" ht="15.75" customHeight="1" thickTop="1" thickBot="1" x14ac:dyDescent="0.3">
      <c r="A25" s="64"/>
      <c r="B25" s="244"/>
      <c r="C25" s="245"/>
      <c r="D25" s="244"/>
      <c r="E25" s="249"/>
      <c r="F25" s="249"/>
      <c r="G25" s="249"/>
      <c r="H25" s="249"/>
      <c r="I25" s="249"/>
      <c r="J25" s="249"/>
      <c r="K25" s="249"/>
      <c r="L25" s="245"/>
      <c r="M25" s="173">
        <v>0</v>
      </c>
      <c r="N25" s="244"/>
      <c r="O25" s="245"/>
      <c r="P25" s="174">
        <v>0</v>
      </c>
      <c r="Q25" s="175">
        <v>0</v>
      </c>
      <c r="R25" s="176"/>
      <c r="S25" s="177">
        <v>0</v>
      </c>
      <c r="T25" s="252"/>
      <c r="U25" s="178">
        <v>0</v>
      </c>
      <c r="V25" s="176"/>
      <c r="W25" s="179">
        <v>0</v>
      </c>
      <c r="X25" s="175">
        <v>0</v>
      </c>
      <c r="Y25" s="118"/>
      <c r="Z25" s="118"/>
      <c r="AA25" s="118"/>
    </row>
    <row r="26" spans="1:27" ht="15.75" customHeight="1" thickTop="1" thickBot="1" x14ac:dyDescent="0.3">
      <c r="A26" s="64"/>
      <c r="B26" s="244"/>
      <c r="C26" s="245"/>
      <c r="D26" s="244"/>
      <c r="E26" s="249"/>
      <c r="F26" s="249"/>
      <c r="G26" s="249"/>
      <c r="H26" s="249"/>
      <c r="I26" s="249"/>
      <c r="J26" s="249"/>
      <c r="K26" s="249"/>
      <c r="L26" s="245"/>
      <c r="M26" s="173">
        <v>0</v>
      </c>
      <c r="N26" s="244"/>
      <c r="O26" s="245"/>
      <c r="P26" s="174">
        <v>0</v>
      </c>
      <c r="Q26" s="175">
        <v>0</v>
      </c>
      <c r="R26" s="176"/>
      <c r="S26" s="177">
        <v>0</v>
      </c>
      <c r="T26" s="252"/>
      <c r="U26" s="178">
        <v>0</v>
      </c>
      <c r="V26" s="176"/>
      <c r="W26" s="179">
        <v>0</v>
      </c>
      <c r="X26" s="175">
        <v>0</v>
      </c>
      <c r="Y26" s="118"/>
      <c r="Z26" s="118"/>
      <c r="AA26" s="118"/>
    </row>
    <row r="27" spans="1:27" ht="15.75" customHeight="1" thickTop="1" thickBot="1" x14ac:dyDescent="0.3">
      <c r="A27" s="64"/>
      <c r="B27" s="244"/>
      <c r="C27" s="245"/>
      <c r="D27" s="244"/>
      <c r="E27" s="249"/>
      <c r="F27" s="249"/>
      <c r="G27" s="249"/>
      <c r="H27" s="249"/>
      <c r="I27" s="249"/>
      <c r="J27" s="249"/>
      <c r="K27" s="249"/>
      <c r="L27" s="245"/>
      <c r="M27" s="173">
        <v>0</v>
      </c>
      <c r="N27" s="244"/>
      <c r="O27" s="245"/>
      <c r="P27" s="174">
        <v>0</v>
      </c>
      <c r="Q27" s="175">
        <v>0</v>
      </c>
      <c r="R27" s="176"/>
      <c r="S27" s="177">
        <v>0</v>
      </c>
      <c r="T27" s="252"/>
      <c r="U27" s="178">
        <v>0</v>
      </c>
      <c r="V27" s="176"/>
      <c r="W27" s="179">
        <v>0</v>
      </c>
      <c r="X27" s="175">
        <v>0</v>
      </c>
      <c r="Y27" s="62"/>
      <c r="Z27" s="62"/>
      <c r="AA27" s="62"/>
    </row>
    <row r="28" spans="1:27" ht="15.75" customHeight="1" thickTop="1" thickBot="1" x14ac:dyDescent="0.3">
      <c r="A28" s="64"/>
      <c r="B28" s="244"/>
      <c r="C28" s="245"/>
      <c r="D28" s="244"/>
      <c r="E28" s="249"/>
      <c r="F28" s="249"/>
      <c r="G28" s="249"/>
      <c r="H28" s="249"/>
      <c r="I28" s="249"/>
      <c r="J28" s="249"/>
      <c r="K28" s="249"/>
      <c r="L28" s="245"/>
      <c r="M28" s="173">
        <v>0</v>
      </c>
      <c r="N28" s="244"/>
      <c r="O28" s="245"/>
      <c r="P28" s="174">
        <v>0</v>
      </c>
      <c r="Q28" s="175">
        <v>0</v>
      </c>
      <c r="R28" s="176"/>
      <c r="S28" s="177">
        <v>0</v>
      </c>
      <c r="T28" s="252"/>
      <c r="U28" s="178">
        <v>0</v>
      </c>
      <c r="V28" s="176"/>
      <c r="W28" s="179">
        <v>0</v>
      </c>
      <c r="X28" s="175">
        <v>0</v>
      </c>
      <c r="Y28" s="85"/>
      <c r="Z28" s="85"/>
      <c r="AA28" s="85"/>
    </row>
    <row r="29" spans="1:27" ht="15.75" customHeight="1" thickTop="1" thickBot="1" x14ac:dyDescent="0.3">
      <c r="A29" s="64"/>
      <c r="B29" s="244"/>
      <c r="C29" s="245"/>
      <c r="D29" s="244"/>
      <c r="E29" s="249"/>
      <c r="F29" s="249"/>
      <c r="G29" s="249"/>
      <c r="H29" s="249"/>
      <c r="I29" s="249"/>
      <c r="J29" s="249"/>
      <c r="K29" s="249"/>
      <c r="L29" s="245"/>
      <c r="M29" s="173">
        <v>0</v>
      </c>
      <c r="N29" s="244"/>
      <c r="O29" s="245"/>
      <c r="P29" s="174">
        <v>0</v>
      </c>
      <c r="Q29" s="175">
        <v>0</v>
      </c>
      <c r="R29" s="176"/>
      <c r="S29" s="177">
        <v>0</v>
      </c>
      <c r="T29" s="252"/>
      <c r="U29" s="178">
        <v>0</v>
      </c>
      <c r="V29" s="176"/>
      <c r="W29" s="179">
        <v>0</v>
      </c>
      <c r="X29" s="175">
        <v>0</v>
      </c>
      <c r="Y29" s="118"/>
      <c r="Z29" s="118"/>
      <c r="AA29" s="118"/>
    </row>
    <row r="30" spans="1:27" ht="15.75" customHeight="1" thickTop="1" thickBot="1" x14ac:dyDescent="0.3">
      <c r="A30" s="64"/>
      <c r="B30" s="244"/>
      <c r="C30" s="245"/>
      <c r="D30" s="244"/>
      <c r="E30" s="249"/>
      <c r="F30" s="249"/>
      <c r="G30" s="249"/>
      <c r="H30" s="249"/>
      <c r="I30" s="249"/>
      <c r="J30" s="249"/>
      <c r="K30" s="249"/>
      <c r="L30" s="245"/>
      <c r="M30" s="173">
        <v>0</v>
      </c>
      <c r="N30" s="244"/>
      <c r="O30" s="245"/>
      <c r="P30" s="174">
        <v>0</v>
      </c>
      <c r="Q30" s="175">
        <v>0</v>
      </c>
      <c r="R30" s="176"/>
      <c r="S30" s="177">
        <v>0</v>
      </c>
      <c r="T30" s="252"/>
      <c r="U30" s="178">
        <v>0</v>
      </c>
      <c r="V30" s="176"/>
      <c r="W30" s="179">
        <v>0</v>
      </c>
      <c r="X30" s="175">
        <v>0</v>
      </c>
      <c r="Y30" s="62"/>
      <c r="Z30" s="62"/>
      <c r="AA30" s="62"/>
    </row>
    <row r="31" spans="1:27" ht="15.75" customHeight="1" thickTop="1" thickBot="1" x14ac:dyDescent="0.3">
      <c r="A31" s="64"/>
      <c r="B31" s="244"/>
      <c r="C31" s="245"/>
      <c r="D31" s="244"/>
      <c r="E31" s="249"/>
      <c r="F31" s="249"/>
      <c r="G31" s="249"/>
      <c r="H31" s="249"/>
      <c r="I31" s="249"/>
      <c r="J31" s="249"/>
      <c r="K31" s="249"/>
      <c r="L31" s="245"/>
      <c r="M31" s="173">
        <v>0</v>
      </c>
      <c r="N31" s="244"/>
      <c r="O31" s="245"/>
      <c r="P31" s="174">
        <v>0</v>
      </c>
      <c r="Q31" s="175">
        <v>0</v>
      </c>
      <c r="R31" s="176"/>
      <c r="S31" s="177">
        <v>0</v>
      </c>
      <c r="T31" s="252"/>
      <c r="U31" s="178">
        <v>0</v>
      </c>
      <c r="V31" s="176"/>
      <c r="W31" s="179">
        <v>0</v>
      </c>
      <c r="X31" s="175">
        <v>0</v>
      </c>
      <c r="Y31" s="62"/>
      <c r="Z31" s="62"/>
      <c r="AA31" s="62"/>
    </row>
    <row r="32" spans="1:27" ht="15.75" customHeight="1" thickTop="1" thickBot="1" x14ac:dyDescent="0.3">
      <c r="A32" s="64"/>
      <c r="B32" s="244"/>
      <c r="C32" s="245"/>
      <c r="D32" s="244"/>
      <c r="E32" s="249"/>
      <c r="F32" s="249"/>
      <c r="G32" s="249"/>
      <c r="H32" s="249"/>
      <c r="I32" s="249"/>
      <c r="J32" s="249"/>
      <c r="K32" s="249"/>
      <c r="L32" s="245"/>
      <c r="M32" s="173">
        <v>0</v>
      </c>
      <c r="N32" s="244"/>
      <c r="O32" s="245"/>
      <c r="P32" s="174">
        <v>0</v>
      </c>
      <c r="Q32" s="175">
        <v>0</v>
      </c>
      <c r="R32" s="176"/>
      <c r="S32" s="177">
        <v>0</v>
      </c>
      <c r="T32" s="252"/>
      <c r="U32" s="178">
        <v>0</v>
      </c>
      <c r="V32" s="176"/>
      <c r="W32" s="179">
        <v>0</v>
      </c>
      <c r="X32" s="175">
        <v>0</v>
      </c>
      <c r="Y32" s="62"/>
      <c r="Z32" s="62"/>
      <c r="AA32" s="62"/>
    </row>
    <row r="33" spans="1:27" ht="15.75" customHeight="1" thickTop="1" thickBot="1" x14ac:dyDescent="0.3">
      <c r="A33" s="64"/>
      <c r="B33" s="244"/>
      <c r="C33" s="245"/>
      <c r="D33" s="244"/>
      <c r="E33" s="249"/>
      <c r="F33" s="249"/>
      <c r="G33" s="249"/>
      <c r="H33" s="249"/>
      <c r="I33" s="249"/>
      <c r="J33" s="249"/>
      <c r="K33" s="249"/>
      <c r="L33" s="245"/>
      <c r="M33" s="173">
        <v>0</v>
      </c>
      <c r="N33" s="244"/>
      <c r="O33" s="245"/>
      <c r="P33" s="174">
        <v>0</v>
      </c>
      <c r="Q33" s="175">
        <v>0</v>
      </c>
      <c r="R33" s="176"/>
      <c r="S33" s="177">
        <v>0</v>
      </c>
      <c r="T33" s="252"/>
      <c r="U33" s="178">
        <v>0</v>
      </c>
      <c r="V33" s="176"/>
      <c r="W33" s="179">
        <v>0</v>
      </c>
      <c r="X33" s="175">
        <v>0</v>
      </c>
      <c r="Y33" s="62"/>
      <c r="Z33" s="62"/>
      <c r="AA33" s="62"/>
    </row>
    <row r="34" spans="1:27" ht="15.75" customHeight="1" thickTop="1" thickBot="1" x14ac:dyDescent="0.3">
      <c r="A34" s="64"/>
      <c r="B34" s="244"/>
      <c r="C34" s="245"/>
      <c r="D34" s="244"/>
      <c r="E34" s="249"/>
      <c r="F34" s="249"/>
      <c r="G34" s="249"/>
      <c r="H34" s="249"/>
      <c r="I34" s="249"/>
      <c r="J34" s="249"/>
      <c r="K34" s="249"/>
      <c r="L34" s="245"/>
      <c r="M34" s="173">
        <v>0</v>
      </c>
      <c r="N34" s="244"/>
      <c r="O34" s="245"/>
      <c r="P34" s="174">
        <v>0</v>
      </c>
      <c r="Q34" s="175">
        <v>0</v>
      </c>
      <c r="R34" s="176"/>
      <c r="S34" s="177">
        <v>0</v>
      </c>
      <c r="T34" s="252"/>
      <c r="U34" s="178">
        <v>0</v>
      </c>
      <c r="V34" s="176"/>
      <c r="W34" s="179">
        <v>0</v>
      </c>
      <c r="X34" s="175">
        <v>0</v>
      </c>
      <c r="Y34" s="62"/>
      <c r="Z34" s="62"/>
      <c r="AA34" s="62"/>
    </row>
    <row r="35" spans="1:27" ht="15.75" customHeight="1" thickTop="1" thickBot="1" x14ac:dyDescent="0.3">
      <c r="A35" s="64"/>
      <c r="B35" s="244"/>
      <c r="C35" s="245"/>
      <c r="D35" s="244"/>
      <c r="E35" s="249"/>
      <c r="F35" s="249"/>
      <c r="G35" s="249"/>
      <c r="H35" s="249"/>
      <c r="I35" s="249"/>
      <c r="J35" s="249"/>
      <c r="K35" s="249"/>
      <c r="L35" s="245"/>
      <c r="M35" s="173">
        <v>0</v>
      </c>
      <c r="N35" s="244"/>
      <c r="O35" s="245"/>
      <c r="P35" s="174">
        <v>0</v>
      </c>
      <c r="Q35" s="175">
        <v>0</v>
      </c>
      <c r="R35" s="176"/>
      <c r="S35" s="177">
        <v>0</v>
      </c>
      <c r="T35" s="252"/>
      <c r="U35" s="178">
        <v>0</v>
      </c>
      <c r="V35" s="176"/>
      <c r="W35" s="179">
        <v>0</v>
      </c>
      <c r="X35" s="175">
        <v>0</v>
      </c>
      <c r="Y35" s="62"/>
      <c r="Z35" s="62"/>
      <c r="AA35" s="62"/>
    </row>
    <row r="36" spans="1:27" ht="15.75" customHeight="1" thickTop="1" thickBot="1" x14ac:dyDescent="0.3">
      <c r="A36" s="64"/>
      <c r="B36" s="244"/>
      <c r="C36" s="245"/>
      <c r="D36" s="244"/>
      <c r="E36" s="249"/>
      <c r="F36" s="249"/>
      <c r="G36" s="249"/>
      <c r="H36" s="249"/>
      <c r="I36" s="249"/>
      <c r="J36" s="249"/>
      <c r="K36" s="249"/>
      <c r="L36" s="245"/>
      <c r="M36" s="173">
        <v>0</v>
      </c>
      <c r="N36" s="244"/>
      <c r="O36" s="245"/>
      <c r="P36" s="174">
        <v>0</v>
      </c>
      <c r="Q36" s="175">
        <v>0</v>
      </c>
      <c r="R36" s="176"/>
      <c r="S36" s="177">
        <v>0</v>
      </c>
      <c r="T36" s="252"/>
      <c r="U36" s="178">
        <v>0</v>
      </c>
      <c r="V36" s="176"/>
      <c r="W36" s="179">
        <v>0</v>
      </c>
      <c r="X36" s="175">
        <v>0</v>
      </c>
      <c r="Y36" s="62"/>
      <c r="Z36" s="62"/>
      <c r="AA36" s="62"/>
    </row>
    <row r="37" spans="1:27" ht="15.75" customHeight="1" thickTop="1" thickBot="1" x14ac:dyDescent="0.3">
      <c r="A37" s="63"/>
      <c r="B37" s="244"/>
      <c r="C37" s="245"/>
      <c r="D37" s="244"/>
      <c r="E37" s="249"/>
      <c r="F37" s="249"/>
      <c r="G37" s="249"/>
      <c r="H37" s="249"/>
      <c r="I37" s="249"/>
      <c r="J37" s="249"/>
      <c r="K37" s="249"/>
      <c r="L37" s="245"/>
      <c r="M37" s="180">
        <v>0</v>
      </c>
      <c r="N37" s="244"/>
      <c r="O37" s="245"/>
      <c r="P37" s="181">
        <v>0</v>
      </c>
      <c r="Q37" s="175">
        <v>0</v>
      </c>
      <c r="R37" s="176"/>
      <c r="S37" s="177">
        <v>0</v>
      </c>
      <c r="T37" s="252"/>
      <c r="U37" s="178">
        <v>0</v>
      </c>
      <c r="V37" s="176"/>
      <c r="W37" s="182">
        <v>0</v>
      </c>
      <c r="X37" s="175">
        <v>0</v>
      </c>
      <c r="Y37" s="62"/>
      <c r="Z37" s="62"/>
      <c r="AA37" s="62"/>
    </row>
    <row r="38" spans="1:27" ht="15.75" customHeight="1" thickTop="1" thickBot="1" x14ac:dyDescent="0.3">
      <c r="A38" s="63"/>
      <c r="B38" s="244"/>
      <c r="C38" s="245"/>
      <c r="D38" s="244"/>
      <c r="E38" s="249"/>
      <c r="F38" s="249"/>
      <c r="G38" s="249"/>
      <c r="H38" s="249"/>
      <c r="I38" s="249"/>
      <c r="J38" s="249"/>
      <c r="K38" s="249"/>
      <c r="L38" s="245"/>
      <c r="M38" s="180">
        <v>0</v>
      </c>
      <c r="N38" s="244"/>
      <c r="O38" s="245"/>
      <c r="P38" s="181">
        <v>0</v>
      </c>
      <c r="Q38" s="175">
        <v>0</v>
      </c>
      <c r="R38" s="176"/>
      <c r="S38" s="177">
        <v>0</v>
      </c>
      <c r="T38" s="252"/>
      <c r="U38" s="178">
        <v>0</v>
      </c>
      <c r="V38" s="176"/>
      <c r="W38" s="182">
        <v>0</v>
      </c>
      <c r="X38" s="175">
        <v>0</v>
      </c>
      <c r="Y38" s="62"/>
      <c r="Z38" s="62"/>
      <c r="AA38" s="62"/>
    </row>
    <row r="39" spans="1:27" ht="15.75" customHeight="1" thickTop="1" thickBot="1" x14ac:dyDescent="0.3">
      <c r="A39" s="63"/>
      <c r="B39" s="244"/>
      <c r="C39" s="245"/>
      <c r="D39" s="244"/>
      <c r="E39" s="249"/>
      <c r="F39" s="249"/>
      <c r="G39" s="249"/>
      <c r="H39" s="249"/>
      <c r="I39" s="249"/>
      <c r="J39" s="249"/>
      <c r="K39" s="249"/>
      <c r="L39" s="245"/>
      <c r="M39" s="180">
        <v>0</v>
      </c>
      <c r="N39" s="244"/>
      <c r="O39" s="245"/>
      <c r="P39" s="181">
        <v>0</v>
      </c>
      <c r="Q39" s="175">
        <v>0</v>
      </c>
      <c r="R39" s="176"/>
      <c r="S39" s="177">
        <v>0</v>
      </c>
      <c r="T39" s="252"/>
      <c r="U39" s="178">
        <v>0</v>
      </c>
      <c r="V39" s="176"/>
      <c r="W39" s="182">
        <v>0</v>
      </c>
      <c r="X39" s="175">
        <v>0</v>
      </c>
      <c r="Y39" s="62"/>
      <c r="Z39" s="62"/>
      <c r="AA39" s="62"/>
    </row>
    <row r="40" spans="1:27" ht="15.75" customHeight="1" thickTop="1" thickBot="1" x14ac:dyDescent="0.3">
      <c r="A40" s="63"/>
      <c r="B40" s="244"/>
      <c r="C40" s="245"/>
      <c r="D40" s="244"/>
      <c r="E40" s="249"/>
      <c r="F40" s="249"/>
      <c r="G40" s="249"/>
      <c r="H40" s="249"/>
      <c r="I40" s="249"/>
      <c r="J40" s="249"/>
      <c r="K40" s="249"/>
      <c r="L40" s="245"/>
      <c r="M40" s="180">
        <v>0</v>
      </c>
      <c r="N40" s="244"/>
      <c r="O40" s="245"/>
      <c r="P40" s="181">
        <v>0</v>
      </c>
      <c r="Q40" s="175">
        <v>0</v>
      </c>
      <c r="R40" s="176"/>
      <c r="S40" s="177">
        <v>0</v>
      </c>
      <c r="T40" s="252"/>
      <c r="U40" s="178">
        <v>0</v>
      </c>
      <c r="V40" s="176"/>
      <c r="W40" s="182">
        <v>0</v>
      </c>
      <c r="X40" s="175">
        <v>0</v>
      </c>
      <c r="Y40" s="62"/>
      <c r="Z40" s="62"/>
      <c r="AA40" s="62"/>
    </row>
    <row r="41" spans="1:27" ht="15.75" customHeight="1" thickTop="1" thickBot="1" x14ac:dyDescent="0.3">
      <c r="A41" s="63"/>
      <c r="B41" s="246"/>
      <c r="C41" s="247"/>
      <c r="D41" s="246"/>
      <c r="E41" s="250"/>
      <c r="F41" s="250"/>
      <c r="G41" s="250"/>
      <c r="H41" s="250"/>
      <c r="I41" s="250"/>
      <c r="J41" s="250"/>
      <c r="K41" s="250"/>
      <c r="L41" s="247"/>
      <c r="M41" s="183">
        <v>0</v>
      </c>
      <c r="N41" s="246"/>
      <c r="O41" s="247"/>
      <c r="P41" s="184">
        <v>0</v>
      </c>
      <c r="Q41" s="185">
        <v>0</v>
      </c>
      <c r="R41" s="176"/>
      <c r="S41" s="254">
        <v>0</v>
      </c>
      <c r="T41" s="253"/>
      <c r="U41" s="255">
        <v>0</v>
      </c>
      <c r="V41" s="176"/>
      <c r="W41" s="186">
        <v>0</v>
      </c>
      <c r="X41" s="185">
        <v>0</v>
      </c>
      <c r="Y41" s="62"/>
      <c r="Z41" s="62"/>
      <c r="AA41" s="62"/>
    </row>
  </sheetData>
  <sheetProtection algorithmName="SHA-512" hashValue="7wQyFX1etaKxznNQP9lpT0X/NpsP2eiv7S/V0LeIJUP5DpUjRlH17h2KQRGf9cQAQXxU0+iWWG5nald/A6+mNg==" saltValue="/bpGXiLPe8ftIzThTY0GOQ==" spinCount="100000" sheet="1" objects="1" scenarios="1" formatCells="0" formatColumns="0" formatRows="0"/>
  <mergeCells count="6">
    <mergeCell ref="W9:Y9"/>
    <mergeCell ref="I3:J3"/>
    <mergeCell ref="I4:J4"/>
    <mergeCell ref="I5:J5"/>
    <mergeCell ref="B9:Q9"/>
    <mergeCell ref="S9:U9"/>
  </mergeCells>
  <pageMargins left="0.7" right="0.7" top="0.75" bottom="0.75" header="0" footer="0"/>
  <pageSetup orientation="landscape"/>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4125"/>
    <outlinePr summaryBelow="0" summaryRight="0"/>
  </sheetPr>
  <dimension ref="A1:AG45"/>
  <sheetViews>
    <sheetView showGridLines="0" showRowColHeaders="0" zoomScale="90" zoomScaleNormal="90" workbookViewId="0"/>
  </sheetViews>
  <sheetFormatPr defaultColWidth="14.44140625" defaultRowHeight="15" customHeight="1" x14ac:dyDescent="0.25"/>
  <cols>
    <col min="1" max="1" width="5.88671875" customWidth="1"/>
    <col min="2" max="2" width="11.33203125" customWidth="1"/>
    <col min="3" max="3" width="10.88671875" customWidth="1"/>
    <col min="4" max="4" width="9" customWidth="1"/>
    <col min="5" max="5" width="11.33203125" customWidth="1"/>
    <col min="6" max="6" width="10.88671875" customWidth="1"/>
    <col min="7" max="7" width="10.109375" customWidth="1"/>
    <col min="8" max="8" width="11.44140625" customWidth="1"/>
    <col min="9" max="9" width="9.44140625" customWidth="1"/>
    <col min="10" max="12" width="6.33203125" customWidth="1"/>
    <col min="13" max="13" width="13.5546875" customWidth="1"/>
    <col min="14" max="14" width="11.109375" customWidth="1"/>
    <col min="15" max="15" width="12.88671875" customWidth="1"/>
    <col min="16" max="16" width="14.109375" customWidth="1"/>
    <col min="17" max="17" width="12" customWidth="1"/>
    <col min="18" max="18" width="2" customWidth="1"/>
    <col min="19" max="19" width="11.44140625" customWidth="1"/>
    <col min="20" max="20" width="9.33203125" customWidth="1"/>
    <col min="21" max="21" width="12.88671875" customWidth="1"/>
    <col min="22" max="22" width="2" customWidth="1"/>
    <col min="23" max="23" width="13.33203125" customWidth="1"/>
    <col min="24" max="24" width="13.109375" customWidth="1"/>
    <col min="25" max="25" width="2" customWidth="1"/>
  </cols>
  <sheetData>
    <row r="1" spans="1:33" ht="13.2" x14ac:dyDescent="0.25">
      <c r="A1" s="61"/>
      <c r="B1" s="132" t="s">
        <v>49</v>
      </c>
      <c r="C1" s="133"/>
      <c r="D1" s="133"/>
      <c r="E1" s="187"/>
      <c r="F1" s="61"/>
      <c r="G1" s="61"/>
      <c r="H1" s="61"/>
      <c r="I1" s="61"/>
      <c r="J1" s="61"/>
      <c r="K1" s="61"/>
      <c r="L1" s="61"/>
      <c r="M1" s="61"/>
      <c r="N1" s="188"/>
      <c r="O1" s="188"/>
      <c r="P1" s="188"/>
      <c r="Q1" s="61"/>
      <c r="R1" s="61"/>
      <c r="S1" s="61"/>
      <c r="T1" s="61"/>
      <c r="U1" s="62"/>
      <c r="V1" s="61"/>
      <c r="W1" s="62"/>
      <c r="X1" s="62"/>
      <c r="Y1" s="62"/>
      <c r="Z1" s="62"/>
      <c r="AA1" s="62"/>
      <c r="AB1" s="62"/>
      <c r="AC1" s="62"/>
      <c r="AD1" s="62"/>
      <c r="AE1" s="62"/>
      <c r="AF1" s="62"/>
      <c r="AG1" s="62"/>
    </row>
    <row r="2" spans="1:33" ht="13.2" x14ac:dyDescent="0.25">
      <c r="A2" s="63"/>
      <c r="B2" s="132" t="s">
        <v>50</v>
      </c>
      <c r="C2" s="132"/>
      <c r="D2" s="132"/>
      <c r="E2" s="63"/>
      <c r="F2" s="63"/>
      <c r="G2" s="63"/>
      <c r="H2" s="63"/>
      <c r="I2" s="63"/>
      <c r="J2" s="63"/>
      <c r="K2" s="63"/>
      <c r="L2" s="63"/>
      <c r="M2" s="63"/>
      <c r="N2" s="64"/>
      <c r="O2" s="64"/>
      <c r="P2" s="64"/>
      <c r="Q2" s="63"/>
      <c r="R2" s="63"/>
      <c r="S2" s="63"/>
      <c r="T2" s="63"/>
      <c r="U2" s="62"/>
      <c r="V2" s="63"/>
      <c r="W2" s="62"/>
      <c r="X2" s="62"/>
      <c r="Y2" s="62"/>
      <c r="Z2" s="62"/>
      <c r="AA2" s="62"/>
      <c r="AB2" s="62"/>
      <c r="AC2" s="62"/>
      <c r="AD2" s="62"/>
      <c r="AE2" s="62"/>
      <c r="AF2" s="62"/>
      <c r="AG2" s="62"/>
    </row>
    <row r="3" spans="1:33" ht="13.2" x14ac:dyDescent="0.25">
      <c r="A3" s="65"/>
      <c r="B3" s="134"/>
      <c r="C3" s="135" t="s">
        <v>14</v>
      </c>
      <c r="D3" s="136">
        <f>DR</f>
        <v>0.1</v>
      </c>
      <c r="F3" s="137"/>
      <c r="G3" s="138"/>
      <c r="H3" s="16" t="str">
        <f>SP&amp;" Year Undiscounted Costs:"</f>
        <v>10 Year Undiscounted Costs:</v>
      </c>
      <c r="I3" s="300">
        <f>SUM(W16:W45)</f>
        <v>193738.33375229049</v>
      </c>
      <c r="J3" s="301"/>
      <c r="K3" s="62"/>
      <c r="N3" s="189" t="s">
        <v>19</v>
      </c>
      <c r="O3" s="190" t="s">
        <v>32</v>
      </c>
      <c r="P3" s="191" t="s">
        <v>33</v>
      </c>
      <c r="R3" s="62"/>
      <c r="S3" s="62"/>
      <c r="T3" s="62"/>
      <c r="U3" s="62"/>
      <c r="V3" s="62"/>
      <c r="W3" s="62"/>
      <c r="X3" s="62"/>
      <c r="Y3" s="62"/>
      <c r="Z3" s="62"/>
      <c r="AA3" s="62"/>
      <c r="AB3" s="62"/>
      <c r="AC3" s="62"/>
      <c r="AD3" s="62"/>
      <c r="AE3" s="62"/>
      <c r="AF3" s="62"/>
      <c r="AG3" s="62"/>
    </row>
    <row r="4" spans="1:33" ht="13.2" x14ac:dyDescent="0.25">
      <c r="A4" s="65"/>
      <c r="B4" s="140"/>
      <c r="C4" s="141" t="s">
        <v>16</v>
      </c>
      <c r="D4" s="142">
        <f>Inf</f>
        <v>0.03</v>
      </c>
      <c r="F4" s="143"/>
      <c r="G4" s="144"/>
      <c r="H4" s="141" t="str">
        <f>"NPV Alt 1 "&amp;SP&amp;" Year Total:"</f>
        <v>NPV Alt 1 10 Year Total:</v>
      </c>
      <c r="I4" s="302">
        <f>SUM(X16:X45)</f>
        <v>128146.22561084415</v>
      </c>
      <c r="J4" s="303"/>
      <c r="K4" s="62"/>
      <c r="N4" s="192">
        <f>IFERROR((P8/P9)-1,"-")</f>
        <v>18.704072689407358</v>
      </c>
      <c r="O4" s="193" cm="1">
        <f t="array" ref="O4">INDEX(A:A,INDEX(_xlfn._xlws.FILTER(ROW(AE16:AE45),AE16:AE45&gt;1),1),1)</f>
        <v>5</v>
      </c>
      <c r="P4" s="194">
        <f>IFERROR(P11/P9,"-")</f>
        <v>19.704072689407358</v>
      </c>
      <c r="R4" s="62"/>
      <c r="S4" s="62"/>
      <c r="T4" s="62"/>
      <c r="U4" s="62"/>
      <c r="V4" s="62"/>
      <c r="W4" s="62"/>
      <c r="X4" s="62"/>
      <c r="Y4" s="62"/>
      <c r="Z4" s="62"/>
      <c r="AA4" s="62"/>
      <c r="AB4" s="62"/>
      <c r="AC4" s="62"/>
      <c r="AD4" s="62"/>
      <c r="AE4" s="62"/>
      <c r="AF4" s="62"/>
      <c r="AG4" s="62"/>
    </row>
    <row r="5" spans="1:33" ht="13.2" x14ac:dyDescent="0.25">
      <c r="A5" s="65"/>
      <c r="B5" s="140"/>
      <c r="C5" s="141" t="s">
        <v>15</v>
      </c>
      <c r="D5" s="147">
        <f>SP</f>
        <v>10</v>
      </c>
      <c r="F5" s="148"/>
      <c r="G5" s="149"/>
      <c r="H5" s="150" t="s">
        <v>51</v>
      </c>
      <c r="I5" s="304">
        <f t="array" ref="I5">NPV(DR,W16:W45)</f>
        <v>128146.22561084412</v>
      </c>
      <c r="J5" s="305"/>
      <c r="K5" s="62"/>
      <c r="L5" s="62"/>
      <c r="M5" s="62"/>
      <c r="N5" s="62"/>
      <c r="R5" s="62"/>
      <c r="S5" s="62"/>
      <c r="T5" s="62"/>
      <c r="U5" s="62"/>
      <c r="V5" s="62"/>
      <c r="W5" s="62"/>
      <c r="X5" s="62"/>
      <c r="Y5" s="62"/>
      <c r="Z5" s="62"/>
      <c r="AA5" s="62"/>
      <c r="AB5" s="62"/>
      <c r="AC5" s="62"/>
      <c r="AD5" s="62"/>
      <c r="AE5" s="62"/>
      <c r="AF5" s="62"/>
      <c r="AG5" s="62"/>
    </row>
    <row r="6" spans="1:33" ht="13.2" x14ac:dyDescent="0.25">
      <c r="A6" s="65"/>
      <c r="B6" s="151"/>
      <c r="C6" s="150" t="s">
        <v>52</v>
      </c>
      <c r="D6" s="240">
        <v>0.5</v>
      </c>
      <c r="F6" s="85"/>
      <c r="I6" s="85"/>
      <c r="J6" s="86"/>
      <c r="K6" s="62"/>
      <c r="L6" s="62"/>
      <c r="M6" s="134"/>
      <c r="N6" s="195"/>
      <c r="O6" s="16" t="s">
        <v>78</v>
      </c>
      <c r="P6" s="241">
        <v>0</v>
      </c>
      <c r="R6" s="62"/>
      <c r="S6" s="62"/>
      <c r="T6" s="62"/>
      <c r="U6" s="62"/>
      <c r="V6" s="62"/>
      <c r="W6" s="62"/>
      <c r="X6" s="62"/>
      <c r="Y6" s="62"/>
      <c r="Z6" s="62"/>
      <c r="AA6" s="62"/>
      <c r="AB6" s="62"/>
      <c r="AC6" s="62"/>
      <c r="AD6" s="62"/>
      <c r="AE6" s="62"/>
      <c r="AF6" s="62"/>
      <c r="AG6" s="62"/>
    </row>
    <row r="7" spans="1:33" ht="13.2" x14ac:dyDescent="0.25">
      <c r="A7" s="65"/>
      <c r="B7" s="85"/>
      <c r="C7" s="196"/>
      <c r="D7" s="85"/>
      <c r="E7" s="85"/>
      <c r="F7" s="85"/>
      <c r="G7" s="197"/>
      <c r="H7" s="198" t="s">
        <v>79</v>
      </c>
      <c r="I7" s="307">
        <f t="array" ref="I7">NPV(DR,U16:U45)</f>
        <v>1677.1256074896992</v>
      </c>
      <c r="J7" s="308"/>
      <c r="K7" s="62"/>
      <c r="L7" s="62"/>
      <c r="M7" s="140"/>
      <c r="O7" s="141" t="s">
        <v>80</v>
      </c>
      <c r="P7" s="199">
        <f t="array" ref="P7">INDEX(A16:AE45,MATCH(SP,A16:A45,0),31)</f>
        <v>82816.290757629438</v>
      </c>
      <c r="Q7" s="200" t="s">
        <v>81</v>
      </c>
      <c r="R7" s="62"/>
      <c r="T7" s="62"/>
      <c r="U7" s="62"/>
      <c r="V7" s="62"/>
      <c r="W7" s="62"/>
      <c r="X7" s="62"/>
      <c r="Y7" s="62"/>
      <c r="Z7" s="62"/>
      <c r="AA7" s="62"/>
      <c r="AB7" s="62"/>
      <c r="AC7" s="62"/>
      <c r="AD7" s="62"/>
      <c r="AE7" s="62"/>
      <c r="AF7" s="62"/>
      <c r="AG7" s="62"/>
    </row>
    <row r="8" spans="1:33" ht="13.2" x14ac:dyDescent="0.25">
      <c r="A8" s="65"/>
      <c r="B8" s="85"/>
      <c r="C8" s="85"/>
      <c r="D8" s="85"/>
      <c r="E8" s="85"/>
      <c r="F8" s="85"/>
      <c r="G8" s="85"/>
      <c r="H8" s="85"/>
      <c r="I8" s="85"/>
      <c r="J8" s="86"/>
      <c r="K8" s="62"/>
      <c r="L8" s="62"/>
      <c r="M8" s="140"/>
      <c r="O8" s="141" t="s">
        <v>82</v>
      </c>
      <c r="P8" s="199">
        <f>P7-P6-P9</f>
        <v>78816.290757629438</v>
      </c>
      <c r="Q8" s="200" t="s">
        <v>83</v>
      </c>
      <c r="R8" s="62"/>
      <c r="T8" s="62"/>
      <c r="U8" s="62"/>
      <c r="V8" s="62"/>
      <c r="W8" s="62"/>
      <c r="X8" s="62"/>
      <c r="Y8" s="62"/>
      <c r="Z8" s="62"/>
      <c r="AA8" s="62"/>
      <c r="AB8" s="62"/>
      <c r="AC8" s="62"/>
      <c r="AD8" s="62"/>
      <c r="AE8" s="62"/>
      <c r="AF8" s="62"/>
      <c r="AG8" s="62"/>
    </row>
    <row r="9" spans="1:33" ht="13.2" x14ac:dyDescent="0.25">
      <c r="A9" s="65"/>
      <c r="B9" s="85"/>
      <c r="C9" s="85"/>
      <c r="D9" s="85"/>
      <c r="E9" s="85"/>
      <c r="F9" s="85"/>
      <c r="G9" s="85"/>
      <c r="H9" s="85"/>
      <c r="I9" s="85"/>
      <c r="J9" s="86"/>
      <c r="K9" s="62"/>
      <c r="L9" s="62"/>
      <c r="M9" s="140"/>
      <c r="O9" s="141" t="s">
        <v>84</v>
      </c>
      <c r="P9" s="199">
        <f t="array" ref="P9">INDEX(A16:AE45,MATCH(SP,A16:A45,0),26)*-1</f>
        <v>4000</v>
      </c>
      <c r="Q9" s="200" t="s">
        <v>85</v>
      </c>
      <c r="R9" s="62"/>
      <c r="T9" s="62"/>
      <c r="U9" s="62"/>
      <c r="V9" s="62"/>
      <c r="W9" s="62"/>
      <c r="X9" s="62"/>
      <c r="Y9" s="62"/>
      <c r="Z9" s="62"/>
      <c r="AA9" s="62"/>
      <c r="AB9" s="62"/>
      <c r="AC9" s="62"/>
      <c r="AD9" s="62"/>
      <c r="AE9" s="62"/>
      <c r="AF9" s="62"/>
      <c r="AG9" s="62"/>
    </row>
    <row r="10" spans="1:33" ht="13.2" x14ac:dyDescent="0.25">
      <c r="A10" s="65"/>
      <c r="B10" s="85"/>
      <c r="C10" s="85"/>
      <c r="D10" s="85"/>
      <c r="E10" s="85"/>
      <c r="F10" s="85"/>
      <c r="G10" s="85"/>
      <c r="H10" s="85"/>
      <c r="I10" s="85"/>
      <c r="J10" s="86"/>
      <c r="K10" s="62"/>
      <c r="L10" s="62"/>
      <c r="M10" s="140"/>
      <c r="O10" s="141" t="s">
        <v>86</v>
      </c>
      <c r="P10" s="199">
        <f>D6*P9</f>
        <v>2000</v>
      </c>
      <c r="Q10" s="200" t="s">
        <v>87</v>
      </c>
      <c r="R10" s="62"/>
      <c r="T10" s="62"/>
      <c r="U10" s="62"/>
      <c r="V10" s="62"/>
      <c r="W10" s="62"/>
      <c r="X10" s="62"/>
      <c r="Y10" s="62"/>
      <c r="Z10" s="62"/>
      <c r="AA10" s="62"/>
      <c r="AB10" s="62"/>
      <c r="AC10" s="62"/>
      <c r="AD10" s="62"/>
      <c r="AE10" s="62"/>
      <c r="AF10" s="62"/>
      <c r="AG10" s="62"/>
    </row>
    <row r="11" spans="1:33" ht="13.2" x14ac:dyDescent="0.25">
      <c r="A11" s="65"/>
      <c r="B11" s="85"/>
      <c r="C11" s="85"/>
      <c r="D11" s="85"/>
      <c r="E11" s="85"/>
      <c r="F11" s="85"/>
      <c r="G11" s="85"/>
      <c r="H11" s="85"/>
      <c r="I11" s="85"/>
      <c r="J11" s="85"/>
      <c r="K11" s="85"/>
      <c r="L11" s="85"/>
      <c r="M11" s="201"/>
      <c r="N11" s="202"/>
      <c r="O11" s="150" t="s">
        <v>88</v>
      </c>
      <c r="P11" s="203">
        <f>P8</f>
        <v>78816.290757629438</v>
      </c>
      <c r="Q11" s="200" t="s">
        <v>89</v>
      </c>
      <c r="R11" s="11"/>
      <c r="T11" s="62"/>
      <c r="U11" s="62"/>
      <c r="V11" s="62"/>
      <c r="W11" s="62"/>
      <c r="X11" s="62"/>
      <c r="Y11" s="62"/>
      <c r="Z11" s="62"/>
      <c r="AA11" s="62"/>
      <c r="AB11" s="62"/>
      <c r="AC11" s="62"/>
      <c r="AD11" s="62"/>
      <c r="AE11" s="62"/>
      <c r="AF11" s="62"/>
      <c r="AG11" s="62"/>
    </row>
    <row r="12" spans="1:33" ht="13.2" x14ac:dyDescent="0.25">
      <c r="A12" s="65"/>
      <c r="B12" s="85"/>
      <c r="C12" s="85"/>
      <c r="D12" s="85"/>
      <c r="E12" s="85"/>
      <c r="F12" s="85"/>
      <c r="G12" s="85"/>
      <c r="H12" s="85"/>
      <c r="I12" s="85"/>
      <c r="J12" s="85"/>
      <c r="K12" s="85"/>
      <c r="L12" s="85"/>
      <c r="M12" s="86"/>
      <c r="N12" s="62"/>
      <c r="O12" s="62"/>
      <c r="P12" s="62"/>
      <c r="Q12" s="62"/>
      <c r="R12" s="62"/>
      <c r="S12" s="62"/>
      <c r="T12" s="62"/>
      <c r="U12" s="62"/>
      <c r="V12" s="62"/>
      <c r="W12" s="62"/>
      <c r="X12" s="62"/>
      <c r="Y12" s="62"/>
      <c r="Z12" s="62"/>
      <c r="AA12" s="62"/>
      <c r="AB12" s="62"/>
      <c r="AC12" s="62"/>
      <c r="AD12" s="62"/>
      <c r="AE12" s="62"/>
      <c r="AF12" s="62"/>
      <c r="AG12" s="62"/>
    </row>
    <row r="13" spans="1:33" ht="13.8" x14ac:dyDescent="0.25">
      <c r="A13" s="65"/>
      <c r="B13" s="306" t="s">
        <v>53</v>
      </c>
      <c r="C13" s="277"/>
      <c r="D13" s="277"/>
      <c r="E13" s="277"/>
      <c r="F13" s="277"/>
      <c r="G13" s="277"/>
      <c r="H13" s="277"/>
      <c r="I13" s="277"/>
      <c r="J13" s="277"/>
      <c r="K13" s="277"/>
      <c r="L13" s="277"/>
      <c r="M13" s="277"/>
      <c r="N13" s="277"/>
      <c r="O13" s="277"/>
      <c r="P13" s="277"/>
      <c r="Q13" s="277"/>
      <c r="R13" s="154"/>
      <c r="S13" s="297" t="s">
        <v>54</v>
      </c>
      <c r="T13" s="277"/>
      <c r="U13" s="277"/>
      <c r="V13" s="64"/>
      <c r="W13" s="297" t="s">
        <v>55</v>
      </c>
      <c r="X13" s="277"/>
      <c r="Y13" s="277"/>
      <c r="Z13" s="297" t="s">
        <v>32</v>
      </c>
      <c r="AA13" s="277"/>
      <c r="AB13" s="277"/>
      <c r="AC13" s="277"/>
      <c r="AD13" s="277"/>
      <c r="AE13" s="277"/>
      <c r="AF13" s="62"/>
      <c r="AG13" s="62"/>
    </row>
    <row r="14" spans="1:33" ht="13.2" x14ac:dyDescent="0.25">
      <c r="A14" s="103"/>
      <c r="B14" s="155"/>
      <c r="C14" s="156" t="s">
        <v>56</v>
      </c>
      <c r="D14" s="141"/>
      <c r="E14" s="157"/>
      <c r="F14" s="64"/>
      <c r="G14" s="64"/>
      <c r="H14" s="154"/>
      <c r="I14" s="64"/>
      <c r="J14" s="64"/>
      <c r="K14" s="64"/>
      <c r="L14" s="64"/>
      <c r="M14" s="156" t="s">
        <v>57</v>
      </c>
      <c r="N14" s="64"/>
      <c r="O14" s="64"/>
      <c r="P14" s="103"/>
      <c r="Q14" s="103"/>
      <c r="R14" s="105"/>
      <c r="S14" s="24"/>
      <c r="T14" s="158" t="s">
        <v>90</v>
      </c>
      <c r="U14" s="24"/>
      <c r="V14" s="105"/>
      <c r="W14" s="105"/>
      <c r="X14" s="105"/>
      <c r="Y14" s="105"/>
      <c r="Z14" s="105"/>
      <c r="AA14" s="105"/>
      <c r="AB14" s="204"/>
      <c r="AC14" s="204"/>
      <c r="AD14" s="105"/>
      <c r="AE14" s="105"/>
      <c r="AF14" s="105"/>
      <c r="AG14" s="105"/>
    </row>
    <row r="15" spans="1:33" ht="63.75" customHeight="1" x14ac:dyDescent="0.25">
      <c r="A15" s="159" t="s">
        <v>46</v>
      </c>
      <c r="B15" s="205" t="s">
        <v>59</v>
      </c>
      <c r="C15" s="206" t="s">
        <v>60</v>
      </c>
      <c r="D15" s="207" t="s">
        <v>61</v>
      </c>
      <c r="E15" s="208" t="s">
        <v>62</v>
      </c>
      <c r="F15" s="209" t="s">
        <v>63</v>
      </c>
      <c r="G15" s="209" t="s">
        <v>64</v>
      </c>
      <c r="H15" s="208" t="s">
        <v>65</v>
      </c>
      <c r="I15" s="209" t="s">
        <v>66</v>
      </c>
      <c r="J15" s="208" t="s">
        <v>67</v>
      </c>
      <c r="K15" s="208" t="s">
        <v>67</v>
      </c>
      <c r="L15" s="210" t="s">
        <v>67</v>
      </c>
      <c r="M15" s="211" t="s">
        <v>91</v>
      </c>
      <c r="N15" s="212" t="s">
        <v>69</v>
      </c>
      <c r="O15" s="213" t="s">
        <v>70</v>
      </c>
      <c r="P15" s="214" t="s">
        <v>92</v>
      </c>
      <c r="Q15" s="206" t="s">
        <v>93</v>
      </c>
      <c r="R15" s="169"/>
      <c r="S15" s="215" t="s">
        <v>73</v>
      </c>
      <c r="T15" s="208" t="s">
        <v>74</v>
      </c>
      <c r="U15" s="216" t="s">
        <v>94</v>
      </c>
      <c r="V15" s="169"/>
      <c r="W15" s="215" t="s">
        <v>76</v>
      </c>
      <c r="X15" s="206" t="s">
        <v>95</v>
      </c>
      <c r="Y15" s="172"/>
      <c r="Z15" s="205" t="s">
        <v>96</v>
      </c>
      <c r="AA15" s="208" t="s">
        <v>97</v>
      </c>
      <c r="AB15" s="208" t="s">
        <v>98</v>
      </c>
      <c r="AC15" s="210" t="s">
        <v>99</v>
      </c>
      <c r="AD15" s="208" t="s">
        <v>100</v>
      </c>
      <c r="AE15" s="206" t="s">
        <v>101</v>
      </c>
      <c r="AF15" s="172"/>
      <c r="AG15" s="172"/>
    </row>
    <row r="16" spans="1:33" ht="15.75" customHeight="1" thickBot="1" x14ac:dyDescent="0.3">
      <c r="A16" s="64" cm="1">
        <f t="array" ref="A16:A25">_xlfn.SEQUENCE(SP)</f>
        <v>1</v>
      </c>
      <c r="B16" s="256">
        <v>1000</v>
      </c>
      <c r="C16" s="257">
        <v>0</v>
      </c>
      <c r="D16" s="256">
        <v>20</v>
      </c>
      <c r="E16" s="262">
        <v>5000</v>
      </c>
      <c r="F16" s="262">
        <v>10000</v>
      </c>
      <c r="G16" s="262">
        <v>3000</v>
      </c>
      <c r="H16" s="262">
        <v>1000</v>
      </c>
      <c r="I16" s="262">
        <v>5</v>
      </c>
      <c r="J16" s="262"/>
      <c r="K16" s="262"/>
      <c r="L16" s="263"/>
      <c r="M16" s="179">
        <f t="array" ref="M16:M45">B16:B45+C16:C45+D16:D45+E16:E45+F16:F45+G16:G45+H16:H45+I16:I45+J16:J45+K16:K45+L16:L45</f>
        <v>20025</v>
      </c>
      <c r="N16" s="242">
        <v>100</v>
      </c>
      <c r="O16" s="243">
        <v>5000</v>
      </c>
      <c r="P16" s="181">
        <f t="array" ref="P16:P45">M16:M45+N16:N45+O16:O45</f>
        <v>25125</v>
      </c>
      <c r="Q16" s="217">
        <f t="array" ref="Q16:Q45">P16:P45*((1+Inf)^(A16:A45-1))</f>
        <v>25125</v>
      </c>
      <c r="R16" s="176"/>
      <c r="S16" s="218">
        <f t="array" ref="S16:S45">B16:B45*$D$6</f>
        <v>500</v>
      </c>
      <c r="T16" s="251">
        <v>1</v>
      </c>
      <c r="U16" s="219">
        <f t="array" ref="U16:U45">(S16:S45+T16:T45)*((1+Inf)^(A16:A45-1))</f>
        <v>501</v>
      </c>
      <c r="V16" s="176"/>
      <c r="W16" s="173">
        <f t="array" ref="W16:W45">Q16:Q45-U16:U45</f>
        <v>24624</v>
      </c>
      <c r="X16" s="217">
        <f t="array" ref="X16:X45">W16:W45/(1+DR)^A16:A45</f>
        <v>22385.454545454544</v>
      </c>
      <c r="Y16" s="176"/>
      <c r="Z16" s="220">
        <f t="array" ref="Z16:Z45">IF(A16:A45&lt;&gt;"",(MMULT(1*(TRANSPOSE(ROW(B16:C45))&lt;=ROW(B16:C45)),-(B16:B45+C16:C45))),0)</f>
        <v>-1000</v>
      </c>
      <c r="AA16" s="221">
        <f t="array" ref="AA16:AA45">IF(A16:A45&lt;&gt;"",(MMULT(1*(TRANSPOSE(ROW(U16:U45))&lt;=ROW(U16:U45)),U16:U45)),0)</f>
        <v>501</v>
      </c>
      <c r="AB16" s="221">
        <f t="array" ref="AB16:AB45">IF(A16:A45&lt;&gt;"",(MMULT(1*(TRANSPOSE(ROW(Q16:Q45))&lt;=ROW(Q16:Q45)),Q16-Q16:Q45)),0)</f>
        <v>0</v>
      </c>
      <c r="AC16" s="222">
        <f t="array" ref="AC16:AC45">IF(A16:A45&lt;&gt;"",Z16:Z45+AA16:AA45+AB16:AB45,0)</f>
        <v>-499</v>
      </c>
      <c r="AD16" s="221">
        <f t="array" ref="AD16:AD45">IF(A16:A45&lt;&gt;"",'SQ Mgmt'!W12:W41-W16:W45,0)</f>
        <v>-500</v>
      </c>
      <c r="AE16" s="223">
        <f t="array" ref="AE16:AE45">IF(A16:A45&lt;&gt;"",(MMULT(1*(TRANSPOSE(ROW(AD16:AD45))&lt;=ROW(AD16:AD45)),AD16:AD45)),0)</f>
        <v>-500</v>
      </c>
      <c r="AF16" s="62"/>
      <c r="AG16" s="62"/>
    </row>
    <row r="17" spans="1:33" ht="15.75" customHeight="1" thickTop="1" thickBot="1" x14ac:dyDescent="0.3">
      <c r="A17" s="64">
        <v>2</v>
      </c>
      <c r="B17" s="258">
        <v>1000</v>
      </c>
      <c r="C17" s="259">
        <v>0</v>
      </c>
      <c r="D17" s="258">
        <v>20</v>
      </c>
      <c r="E17" s="249">
        <v>5000</v>
      </c>
      <c r="F17" s="249">
        <v>9000</v>
      </c>
      <c r="G17" s="249">
        <v>5000</v>
      </c>
      <c r="H17" s="249">
        <v>1000</v>
      </c>
      <c r="I17" s="249">
        <v>5</v>
      </c>
      <c r="J17" s="249"/>
      <c r="K17" s="249"/>
      <c r="L17" s="264"/>
      <c r="M17" s="179">
        <v>21025</v>
      </c>
      <c r="N17" s="244">
        <v>100</v>
      </c>
      <c r="O17" s="245">
        <v>5000</v>
      </c>
      <c r="P17" s="181">
        <v>26125</v>
      </c>
      <c r="Q17" s="217">
        <v>26908.75</v>
      </c>
      <c r="R17" s="176"/>
      <c r="S17" s="218">
        <v>500</v>
      </c>
      <c r="T17" s="252">
        <v>1</v>
      </c>
      <c r="U17" s="219">
        <v>516.03</v>
      </c>
      <c r="V17" s="176"/>
      <c r="W17" s="173">
        <v>26392.720000000001</v>
      </c>
      <c r="X17" s="217">
        <v>21812.165289256194</v>
      </c>
      <c r="Y17" s="176"/>
      <c r="Z17" s="220">
        <v>-2000</v>
      </c>
      <c r="AA17" s="221">
        <v>1017.03</v>
      </c>
      <c r="AB17" s="221">
        <v>-1783.75</v>
      </c>
      <c r="AC17" s="222">
        <v>-2766.7200000000003</v>
      </c>
      <c r="AD17" s="221">
        <v>-1545</v>
      </c>
      <c r="AE17" s="223">
        <v>-2045</v>
      </c>
      <c r="AF17" s="118"/>
      <c r="AG17" s="118"/>
    </row>
    <row r="18" spans="1:33" ht="15.75" customHeight="1" thickTop="1" thickBot="1" x14ac:dyDescent="0.3">
      <c r="A18" s="64">
        <v>3</v>
      </c>
      <c r="B18" s="258">
        <v>1000</v>
      </c>
      <c r="C18" s="259">
        <v>0</v>
      </c>
      <c r="D18" s="258">
        <v>20</v>
      </c>
      <c r="E18" s="249">
        <v>7000</v>
      </c>
      <c r="F18" s="249">
        <v>7000</v>
      </c>
      <c r="G18" s="249">
        <v>6000</v>
      </c>
      <c r="H18" s="249">
        <v>1000</v>
      </c>
      <c r="I18" s="249">
        <v>5</v>
      </c>
      <c r="J18" s="249"/>
      <c r="K18" s="249"/>
      <c r="L18" s="264"/>
      <c r="M18" s="179">
        <v>22025</v>
      </c>
      <c r="N18" s="244">
        <v>100</v>
      </c>
      <c r="O18" s="245">
        <v>5000</v>
      </c>
      <c r="P18" s="181">
        <v>27125</v>
      </c>
      <c r="Q18" s="217">
        <v>28776.912499999999</v>
      </c>
      <c r="R18" s="176"/>
      <c r="S18" s="218">
        <v>500</v>
      </c>
      <c r="T18" s="252">
        <v>3</v>
      </c>
      <c r="U18" s="219">
        <v>533.6327</v>
      </c>
      <c r="V18" s="176"/>
      <c r="W18" s="173">
        <v>28243.2798</v>
      </c>
      <c r="X18" s="217">
        <v>21219.594139744546</v>
      </c>
      <c r="Y18" s="176"/>
      <c r="Z18" s="220">
        <v>-3000</v>
      </c>
      <c r="AA18" s="221">
        <v>1550.6626999999999</v>
      </c>
      <c r="AB18" s="221">
        <v>-5435.6624999999985</v>
      </c>
      <c r="AC18" s="222">
        <v>-6884.9997999999987</v>
      </c>
      <c r="AD18" s="221">
        <v>-2650.1282000000028</v>
      </c>
      <c r="AE18" s="223">
        <v>-4695.1282000000028</v>
      </c>
      <c r="AF18" s="118"/>
      <c r="AG18" s="118"/>
    </row>
    <row r="19" spans="1:33" ht="15.75" customHeight="1" thickTop="1" thickBot="1" x14ac:dyDescent="0.3">
      <c r="A19" s="64">
        <v>4</v>
      </c>
      <c r="B19" s="258">
        <v>500</v>
      </c>
      <c r="C19" s="259">
        <v>0</v>
      </c>
      <c r="D19" s="258">
        <v>10</v>
      </c>
      <c r="E19" s="249">
        <v>4000</v>
      </c>
      <c r="F19" s="249">
        <v>6000</v>
      </c>
      <c r="G19" s="249">
        <v>6000</v>
      </c>
      <c r="H19" s="249">
        <v>1000</v>
      </c>
      <c r="I19" s="249">
        <v>5</v>
      </c>
      <c r="J19" s="249"/>
      <c r="K19" s="249"/>
      <c r="L19" s="264"/>
      <c r="M19" s="179">
        <v>17515</v>
      </c>
      <c r="N19" s="244">
        <v>90</v>
      </c>
      <c r="O19" s="245">
        <v>4000</v>
      </c>
      <c r="P19" s="181">
        <v>21605</v>
      </c>
      <c r="Q19" s="217">
        <v>23608.366835000001</v>
      </c>
      <c r="R19" s="176"/>
      <c r="S19" s="218">
        <v>250</v>
      </c>
      <c r="T19" s="252">
        <v>5</v>
      </c>
      <c r="U19" s="219">
        <v>278.64538499999998</v>
      </c>
      <c r="V19" s="176"/>
      <c r="W19" s="173">
        <v>23329.721450000001</v>
      </c>
      <c r="X19" s="217">
        <v>15934.513660269104</v>
      </c>
      <c r="Y19" s="176"/>
      <c r="Z19" s="220">
        <v>-3500</v>
      </c>
      <c r="AA19" s="221">
        <v>1829.3080849999999</v>
      </c>
      <c r="AB19" s="221">
        <v>-3919.0293349999993</v>
      </c>
      <c r="AC19" s="222">
        <v>-5589.7212499999996</v>
      </c>
      <c r="AD19" s="221">
        <v>3031.2246979999982</v>
      </c>
      <c r="AE19" s="223">
        <v>-1663.9035020000047</v>
      </c>
      <c r="AF19" s="118"/>
      <c r="AG19" s="118"/>
    </row>
    <row r="20" spans="1:33" ht="15.75" customHeight="1" thickTop="1" thickBot="1" x14ac:dyDescent="0.3">
      <c r="A20" s="64">
        <v>5</v>
      </c>
      <c r="B20" s="258">
        <v>500</v>
      </c>
      <c r="C20" s="259">
        <v>0</v>
      </c>
      <c r="D20" s="258">
        <v>10</v>
      </c>
      <c r="E20" s="249">
        <v>4000</v>
      </c>
      <c r="F20" s="249">
        <v>4000</v>
      </c>
      <c r="G20" s="249">
        <v>6000</v>
      </c>
      <c r="H20" s="249">
        <v>750</v>
      </c>
      <c r="I20" s="249">
        <v>5</v>
      </c>
      <c r="J20" s="249"/>
      <c r="K20" s="249"/>
      <c r="L20" s="264"/>
      <c r="M20" s="179">
        <v>15265</v>
      </c>
      <c r="N20" s="244">
        <v>80</v>
      </c>
      <c r="O20" s="245">
        <v>3500</v>
      </c>
      <c r="P20" s="181">
        <v>18845</v>
      </c>
      <c r="Q20" s="217">
        <v>21210.213524449999</v>
      </c>
      <c r="R20" s="176"/>
      <c r="S20" s="218">
        <v>250</v>
      </c>
      <c r="T20" s="252">
        <v>6</v>
      </c>
      <c r="U20" s="219">
        <v>288.13025535999998</v>
      </c>
      <c r="V20" s="176"/>
      <c r="W20" s="173">
        <v>20922.083269089999</v>
      </c>
      <c r="X20" s="217">
        <v>12990.967624597171</v>
      </c>
      <c r="Y20" s="176"/>
      <c r="Z20" s="220">
        <v>-4000</v>
      </c>
      <c r="AA20" s="221">
        <v>2117.43834036</v>
      </c>
      <c r="AB20" s="221">
        <v>-4.2428594499979226</v>
      </c>
      <c r="AC20" s="222">
        <v>-1886.8045190899979</v>
      </c>
      <c r="AD20" s="221">
        <v>6229.6912633499996</v>
      </c>
      <c r="AE20" s="223">
        <v>4565.787761349995</v>
      </c>
      <c r="AF20" s="118"/>
      <c r="AG20" s="118"/>
    </row>
    <row r="21" spans="1:33" ht="15.75" customHeight="1" thickTop="1" thickBot="1" x14ac:dyDescent="0.3">
      <c r="A21" s="64">
        <v>6</v>
      </c>
      <c r="B21" s="258">
        <v>0</v>
      </c>
      <c r="C21" s="259">
        <v>0</v>
      </c>
      <c r="D21" s="258">
        <v>5</v>
      </c>
      <c r="E21" s="249">
        <v>3000</v>
      </c>
      <c r="F21" s="249">
        <v>4000</v>
      </c>
      <c r="G21" s="249">
        <v>5000</v>
      </c>
      <c r="H21" s="249">
        <v>750</v>
      </c>
      <c r="I21" s="249">
        <v>4</v>
      </c>
      <c r="J21" s="249"/>
      <c r="K21" s="249"/>
      <c r="L21" s="264"/>
      <c r="M21" s="179">
        <v>12759</v>
      </c>
      <c r="N21" s="244">
        <v>70</v>
      </c>
      <c r="O21" s="245">
        <v>2500</v>
      </c>
      <c r="P21" s="181">
        <v>15329</v>
      </c>
      <c r="Q21" s="217">
        <v>17770.512284944696</v>
      </c>
      <c r="R21" s="176"/>
      <c r="S21" s="218">
        <v>0</v>
      </c>
      <c r="T21" s="252">
        <v>7</v>
      </c>
      <c r="U21" s="219">
        <v>8.114918520099998</v>
      </c>
      <c r="V21" s="176"/>
      <c r="W21" s="173">
        <v>17762.397366424597</v>
      </c>
      <c r="X21" s="217">
        <v>10026.410248602553</v>
      </c>
      <c r="Y21" s="176"/>
      <c r="Z21" s="220">
        <v>-4000</v>
      </c>
      <c r="AA21" s="221">
        <v>2125.5532588801002</v>
      </c>
      <c r="AB21" s="221">
        <v>7350.2448556053059</v>
      </c>
      <c r="AC21" s="222">
        <v>5475.7981144854057</v>
      </c>
      <c r="AD21" s="221">
        <v>10203.9304019886</v>
      </c>
      <c r="AE21" s="223">
        <v>14769.718163338595</v>
      </c>
      <c r="AF21" s="118"/>
      <c r="AG21" s="118"/>
    </row>
    <row r="22" spans="1:33" ht="15.75" customHeight="1" thickTop="1" thickBot="1" x14ac:dyDescent="0.3">
      <c r="A22" s="64">
        <v>7</v>
      </c>
      <c r="B22" s="258">
        <v>0</v>
      </c>
      <c r="C22" s="259">
        <v>0</v>
      </c>
      <c r="D22" s="258">
        <v>5</v>
      </c>
      <c r="E22" s="249">
        <v>3000</v>
      </c>
      <c r="F22" s="249">
        <v>3500</v>
      </c>
      <c r="G22" s="249">
        <v>4000</v>
      </c>
      <c r="H22" s="249">
        <v>750</v>
      </c>
      <c r="I22" s="249">
        <v>4</v>
      </c>
      <c r="J22" s="249"/>
      <c r="K22" s="249"/>
      <c r="L22" s="264"/>
      <c r="M22" s="179">
        <v>11259</v>
      </c>
      <c r="N22" s="244">
        <v>60</v>
      </c>
      <c r="O22" s="245">
        <v>2000</v>
      </c>
      <c r="P22" s="181">
        <v>13319</v>
      </c>
      <c r="Q22" s="217">
        <v>15903.582537469751</v>
      </c>
      <c r="R22" s="176"/>
      <c r="S22" s="218">
        <v>0</v>
      </c>
      <c r="T22" s="252">
        <v>8</v>
      </c>
      <c r="U22" s="219">
        <v>9.5524183722319993</v>
      </c>
      <c r="V22" s="176"/>
      <c r="W22" s="173">
        <v>15894.030119097519</v>
      </c>
      <c r="X22" s="217">
        <v>8156.1505870182536</v>
      </c>
      <c r="Y22" s="176"/>
      <c r="Z22" s="220">
        <v>-4000</v>
      </c>
      <c r="AA22" s="221">
        <v>2135.105677252332</v>
      </c>
      <c r="AB22" s="221">
        <v>16571.662318135554</v>
      </c>
      <c r="AC22" s="222">
        <v>14706.767995387885</v>
      </c>
      <c r="AD22" s="221">
        <v>12911.287482368072</v>
      </c>
      <c r="AE22" s="223">
        <v>27681.005645706668</v>
      </c>
      <c r="AF22" s="118"/>
      <c r="AG22" s="118"/>
    </row>
    <row r="23" spans="1:33" ht="15.75" customHeight="1" thickTop="1" thickBot="1" x14ac:dyDescent="0.3">
      <c r="A23" s="64">
        <v>8</v>
      </c>
      <c r="B23" s="258">
        <v>0</v>
      </c>
      <c r="C23" s="259">
        <v>0</v>
      </c>
      <c r="D23" s="258">
        <v>5</v>
      </c>
      <c r="E23" s="249">
        <v>3000</v>
      </c>
      <c r="F23" s="249">
        <v>3000</v>
      </c>
      <c r="G23" s="249">
        <v>2000</v>
      </c>
      <c r="H23" s="249">
        <v>750</v>
      </c>
      <c r="I23" s="249">
        <v>3</v>
      </c>
      <c r="J23" s="249"/>
      <c r="K23" s="249"/>
      <c r="L23" s="264"/>
      <c r="M23" s="179">
        <v>8758</v>
      </c>
      <c r="N23" s="244">
        <v>50</v>
      </c>
      <c r="O23" s="245">
        <v>2000</v>
      </c>
      <c r="P23" s="181">
        <v>10808</v>
      </c>
      <c r="Q23" s="217">
        <v>13292.476737511995</v>
      </c>
      <c r="R23" s="176"/>
      <c r="S23" s="218">
        <v>0</v>
      </c>
      <c r="T23" s="252">
        <v>9</v>
      </c>
      <c r="U23" s="219">
        <v>11.068864788823831</v>
      </c>
      <c r="V23" s="176"/>
      <c r="W23" s="173">
        <v>13281.407872723172</v>
      </c>
      <c r="X23" s="217">
        <v>6195.8747922010125</v>
      </c>
      <c r="Y23" s="176"/>
      <c r="Z23" s="220">
        <v>-4000</v>
      </c>
      <c r="AA23" s="221">
        <v>2146.1745420411557</v>
      </c>
      <c r="AB23" s="221">
        <v>28404.185580623558</v>
      </c>
      <c r="AC23" s="222">
        <v>26550.360122664715</v>
      </c>
      <c r="AD23" s="221">
        <v>16388.069256786392</v>
      </c>
      <c r="AE23" s="223">
        <v>44069.074902493056</v>
      </c>
      <c r="AF23" s="118"/>
      <c r="AG23" s="118"/>
    </row>
    <row r="24" spans="1:33" ht="15.75" customHeight="1" thickTop="1" thickBot="1" x14ac:dyDescent="0.3">
      <c r="A24" s="64">
        <v>9</v>
      </c>
      <c r="B24" s="258">
        <v>0</v>
      </c>
      <c r="C24" s="259">
        <v>0</v>
      </c>
      <c r="D24" s="258">
        <v>5</v>
      </c>
      <c r="E24" s="249">
        <v>3000</v>
      </c>
      <c r="F24" s="249">
        <v>2500</v>
      </c>
      <c r="G24" s="249">
        <v>2000</v>
      </c>
      <c r="H24" s="249">
        <v>600</v>
      </c>
      <c r="I24" s="249">
        <v>3</v>
      </c>
      <c r="J24" s="249"/>
      <c r="K24" s="249"/>
      <c r="L24" s="264"/>
      <c r="M24" s="179">
        <v>8108</v>
      </c>
      <c r="N24" s="244">
        <v>40</v>
      </c>
      <c r="O24" s="245">
        <v>1000</v>
      </c>
      <c r="P24" s="181">
        <v>9148</v>
      </c>
      <c r="Q24" s="217">
        <v>11588.41270453391</v>
      </c>
      <c r="R24" s="176"/>
      <c r="S24" s="218">
        <v>0</v>
      </c>
      <c r="T24" s="252">
        <v>10</v>
      </c>
      <c r="U24" s="219">
        <v>12.667700813876159</v>
      </c>
      <c r="V24" s="176"/>
      <c r="W24" s="173">
        <v>11575.745003720034</v>
      </c>
      <c r="X24" s="217">
        <v>4909.2458869648553</v>
      </c>
      <c r="Y24" s="176"/>
      <c r="Z24" s="220">
        <v>-4000</v>
      </c>
      <c r="AA24" s="221">
        <v>2158.8422428550321</v>
      </c>
      <c r="AB24" s="221">
        <v>41940.77287608965</v>
      </c>
      <c r="AC24" s="222">
        <v>40099.615118944683</v>
      </c>
      <c r="AD24" s="221">
        <v>18983.816439674811</v>
      </c>
      <c r="AE24" s="223">
        <v>63052.891342167866</v>
      </c>
      <c r="AF24" s="118"/>
      <c r="AG24" s="118"/>
    </row>
    <row r="25" spans="1:33" ht="15.75" customHeight="1" thickTop="1" thickBot="1" x14ac:dyDescent="0.3">
      <c r="A25" s="64">
        <v>10</v>
      </c>
      <c r="B25" s="258">
        <v>0</v>
      </c>
      <c r="C25" s="259">
        <v>0</v>
      </c>
      <c r="D25" s="258">
        <v>5</v>
      </c>
      <c r="E25" s="249">
        <v>3000</v>
      </c>
      <c r="F25" s="249">
        <v>2500</v>
      </c>
      <c r="G25" s="249">
        <v>2000</v>
      </c>
      <c r="H25" s="249">
        <v>550</v>
      </c>
      <c r="I25" s="249">
        <v>2</v>
      </c>
      <c r="J25" s="249"/>
      <c r="K25" s="249"/>
      <c r="L25" s="264"/>
      <c r="M25" s="179">
        <v>8057</v>
      </c>
      <c r="N25" s="244">
        <v>30</v>
      </c>
      <c r="O25" s="245">
        <v>900</v>
      </c>
      <c r="P25" s="181">
        <v>8987</v>
      </c>
      <c r="Q25" s="217">
        <v>11725.996603073419</v>
      </c>
      <c r="R25" s="176"/>
      <c r="S25" s="218">
        <v>0</v>
      </c>
      <c r="T25" s="252">
        <v>10</v>
      </c>
      <c r="U25" s="219">
        <v>13.047731838292444</v>
      </c>
      <c r="V25" s="176"/>
      <c r="W25" s="173">
        <v>11712.948871235127</v>
      </c>
      <c r="X25" s="217">
        <v>4515.8488367359087</v>
      </c>
      <c r="Y25" s="176"/>
      <c r="Z25" s="220">
        <v>-4000</v>
      </c>
      <c r="AA25" s="221">
        <v>2171.8899746933243</v>
      </c>
      <c r="AB25" s="221">
        <v>55339.776273016229</v>
      </c>
      <c r="AC25" s="222">
        <v>53511.666247709552</v>
      </c>
      <c r="AD25" s="221">
        <v>19763.399415461565</v>
      </c>
      <c r="AE25" s="223">
        <v>82816.290757629438</v>
      </c>
      <c r="AF25" s="118"/>
      <c r="AG25" s="118"/>
    </row>
    <row r="26" spans="1:33" ht="15.75" customHeight="1" thickTop="1" thickBot="1" x14ac:dyDescent="0.3">
      <c r="A26" s="64"/>
      <c r="B26" s="258"/>
      <c r="C26" s="259"/>
      <c r="D26" s="258"/>
      <c r="E26" s="249"/>
      <c r="F26" s="249"/>
      <c r="G26" s="249"/>
      <c r="H26" s="249"/>
      <c r="I26" s="249"/>
      <c r="J26" s="249"/>
      <c r="K26" s="249"/>
      <c r="L26" s="264"/>
      <c r="M26" s="179">
        <v>0</v>
      </c>
      <c r="N26" s="244"/>
      <c r="O26" s="245"/>
      <c r="P26" s="181">
        <v>0</v>
      </c>
      <c r="Q26" s="217">
        <v>0</v>
      </c>
      <c r="R26" s="176"/>
      <c r="S26" s="218">
        <v>0</v>
      </c>
      <c r="T26" s="252"/>
      <c r="U26" s="219">
        <v>0</v>
      </c>
      <c r="V26" s="176"/>
      <c r="W26" s="173">
        <v>0</v>
      </c>
      <c r="X26" s="217">
        <v>0</v>
      </c>
      <c r="Y26" s="176"/>
      <c r="Z26" s="220">
        <v>0</v>
      </c>
      <c r="AA26" s="221">
        <v>0</v>
      </c>
      <c r="AB26" s="221">
        <v>0</v>
      </c>
      <c r="AC26" s="222">
        <v>0</v>
      </c>
      <c r="AD26" s="221">
        <v>0</v>
      </c>
      <c r="AE26" s="223">
        <v>0</v>
      </c>
      <c r="AF26" s="118"/>
      <c r="AG26" s="118"/>
    </row>
    <row r="27" spans="1:33" ht="15.75" customHeight="1" thickTop="1" thickBot="1" x14ac:dyDescent="0.3">
      <c r="A27" s="64"/>
      <c r="B27" s="258"/>
      <c r="C27" s="259"/>
      <c r="D27" s="258"/>
      <c r="E27" s="249"/>
      <c r="F27" s="249"/>
      <c r="G27" s="249"/>
      <c r="H27" s="249"/>
      <c r="I27" s="249"/>
      <c r="J27" s="249"/>
      <c r="K27" s="249"/>
      <c r="L27" s="264"/>
      <c r="M27" s="179">
        <v>0</v>
      </c>
      <c r="N27" s="244"/>
      <c r="O27" s="245"/>
      <c r="P27" s="181">
        <v>0</v>
      </c>
      <c r="Q27" s="217">
        <v>0</v>
      </c>
      <c r="R27" s="176"/>
      <c r="S27" s="218">
        <v>0</v>
      </c>
      <c r="T27" s="252"/>
      <c r="U27" s="219">
        <v>0</v>
      </c>
      <c r="V27" s="176"/>
      <c r="W27" s="173">
        <v>0</v>
      </c>
      <c r="X27" s="217">
        <v>0</v>
      </c>
      <c r="Y27" s="176"/>
      <c r="Z27" s="220">
        <v>0</v>
      </c>
      <c r="AA27" s="221">
        <v>0</v>
      </c>
      <c r="AB27" s="221">
        <v>0</v>
      </c>
      <c r="AC27" s="222">
        <v>0</v>
      </c>
      <c r="AD27" s="221">
        <v>0</v>
      </c>
      <c r="AE27" s="223">
        <v>0</v>
      </c>
      <c r="AF27" s="62"/>
      <c r="AG27" s="62"/>
    </row>
    <row r="28" spans="1:33" ht="15.75" customHeight="1" thickTop="1" thickBot="1" x14ac:dyDescent="0.3">
      <c r="A28" s="64"/>
      <c r="B28" s="258"/>
      <c r="C28" s="259"/>
      <c r="D28" s="258"/>
      <c r="E28" s="249"/>
      <c r="F28" s="249"/>
      <c r="G28" s="249"/>
      <c r="H28" s="249"/>
      <c r="I28" s="249"/>
      <c r="J28" s="249"/>
      <c r="K28" s="249"/>
      <c r="L28" s="264"/>
      <c r="M28" s="179">
        <v>0</v>
      </c>
      <c r="N28" s="244"/>
      <c r="O28" s="245"/>
      <c r="P28" s="181">
        <v>0</v>
      </c>
      <c r="Q28" s="217">
        <v>0</v>
      </c>
      <c r="R28" s="176"/>
      <c r="S28" s="218">
        <v>0</v>
      </c>
      <c r="T28" s="252"/>
      <c r="U28" s="219">
        <v>0</v>
      </c>
      <c r="V28" s="176"/>
      <c r="W28" s="173">
        <v>0</v>
      </c>
      <c r="X28" s="217">
        <v>0</v>
      </c>
      <c r="Y28" s="176"/>
      <c r="Z28" s="220">
        <v>0</v>
      </c>
      <c r="AA28" s="221">
        <v>0</v>
      </c>
      <c r="AB28" s="221">
        <v>0</v>
      </c>
      <c r="AC28" s="222">
        <v>0</v>
      </c>
      <c r="AD28" s="221">
        <v>0</v>
      </c>
      <c r="AE28" s="223">
        <v>0</v>
      </c>
      <c r="AF28" s="118"/>
      <c r="AG28" s="118"/>
    </row>
    <row r="29" spans="1:33" ht="15.75" customHeight="1" thickTop="1" thickBot="1" x14ac:dyDescent="0.3">
      <c r="A29" s="64"/>
      <c r="B29" s="258"/>
      <c r="C29" s="259"/>
      <c r="D29" s="258"/>
      <c r="E29" s="249"/>
      <c r="F29" s="249"/>
      <c r="G29" s="249"/>
      <c r="H29" s="249"/>
      <c r="I29" s="249"/>
      <c r="J29" s="249"/>
      <c r="K29" s="249"/>
      <c r="L29" s="264"/>
      <c r="M29" s="179">
        <v>0</v>
      </c>
      <c r="N29" s="244"/>
      <c r="O29" s="245"/>
      <c r="P29" s="181">
        <v>0</v>
      </c>
      <c r="Q29" s="217">
        <v>0</v>
      </c>
      <c r="R29" s="176"/>
      <c r="S29" s="218">
        <v>0</v>
      </c>
      <c r="T29" s="252"/>
      <c r="U29" s="219">
        <v>0</v>
      </c>
      <c r="V29" s="176"/>
      <c r="W29" s="173">
        <v>0</v>
      </c>
      <c r="X29" s="217">
        <v>0</v>
      </c>
      <c r="Y29" s="176"/>
      <c r="Z29" s="220">
        <v>0</v>
      </c>
      <c r="AA29" s="221">
        <v>0</v>
      </c>
      <c r="AB29" s="221">
        <v>0</v>
      </c>
      <c r="AC29" s="222">
        <v>0</v>
      </c>
      <c r="AD29" s="221">
        <v>0</v>
      </c>
      <c r="AE29" s="223">
        <v>0</v>
      </c>
      <c r="AF29" s="118"/>
      <c r="AG29" s="118"/>
    </row>
    <row r="30" spans="1:33" ht="15.75" customHeight="1" thickTop="1" thickBot="1" x14ac:dyDescent="0.3">
      <c r="A30" s="64"/>
      <c r="B30" s="258"/>
      <c r="C30" s="259"/>
      <c r="D30" s="258"/>
      <c r="E30" s="249"/>
      <c r="F30" s="249"/>
      <c r="G30" s="249"/>
      <c r="H30" s="249"/>
      <c r="I30" s="249"/>
      <c r="J30" s="249"/>
      <c r="K30" s="249"/>
      <c r="L30" s="264"/>
      <c r="M30" s="179">
        <v>0</v>
      </c>
      <c r="N30" s="244"/>
      <c r="O30" s="245"/>
      <c r="P30" s="181">
        <v>0</v>
      </c>
      <c r="Q30" s="217">
        <v>0</v>
      </c>
      <c r="R30" s="176"/>
      <c r="S30" s="218">
        <v>0</v>
      </c>
      <c r="T30" s="252"/>
      <c r="U30" s="219">
        <v>0</v>
      </c>
      <c r="V30" s="176"/>
      <c r="W30" s="173">
        <v>0</v>
      </c>
      <c r="X30" s="217">
        <v>0</v>
      </c>
      <c r="Y30" s="176"/>
      <c r="Z30" s="220">
        <v>0</v>
      </c>
      <c r="AA30" s="221">
        <v>0</v>
      </c>
      <c r="AB30" s="221">
        <v>0</v>
      </c>
      <c r="AC30" s="222">
        <v>0</v>
      </c>
      <c r="AD30" s="221">
        <v>0</v>
      </c>
      <c r="AE30" s="223">
        <v>0</v>
      </c>
      <c r="AF30" s="118"/>
      <c r="AG30" s="118"/>
    </row>
    <row r="31" spans="1:33" ht="15.75" customHeight="1" thickTop="1" thickBot="1" x14ac:dyDescent="0.3">
      <c r="A31" s="64"/>
      <c r="B31" s="258"/>
      <c r="C31" s="259"/>
      <c r="D31" s="258"/>
      <c r="E31" s="249"/>
      <c r="F31" s="249"/>
      <c r="G31" s="249"/>
      <c r="H31" s="249"/>
      <c r="I31" s="249"/>
      <c r="J31" s="249"/>
      <c r="K31" s="249"/>
      <c r="L31" s="264"/>
      <c r="M31" s="179">
        <v>0</v>
      </c>
      <c r="N31" s="244"/>
      <c r="O31" s="245"/>
      <c r="P31" s="181">
        <v>0</v>
      </c>
      <c r="Q31" s="217">
        <v>0</v>
      </c>
      <c r="R31" s="176"/>
      <c r="S31" s="218">
        <v>0</v>
      </c>
      <c r="T31" s="252"/>
      <c r="U31" s="219">
        <v>0</v>
      </c>
      <c r="V31" s="176"/>
      <c r="W31" s="173">
        <v>0</v>
      </c>
      <c r="X31" s="217">
        <v>0</v>
      </c>
      <c r="Y31" s="176"/>
      <c r="Z31" s="220">
        <v>0</v>
      </c>
      <c r="AA31" s="221">
        <v>0</v>
      </c>
      <c r="AB31" s="221">
        <v>0</v>
      </c>
      <c r="AC31" s="222">
        <v>0</v>
      </c>
      <c r="AD31" s="221">
        <v>0</v>
      </c>
      <c r="AE31" s="223">
        <v>0</v>
      </c>
      <c r="AF31" s="62"/>
      <c r="AG31" s="62"/>
    </row>
    <row r="32" spans="1:33" ht="15.75" customHeight="1" thickTop="1" thickBot="1" x14ac:dyDescent="0.3">
      <c r="A32" s="64"/>
      <c r="B32" s="258"/>
      <c r="C32" s="259"/>
      <c r="D32" s="258"/>
      <c r="E32" s="249"/>
      <c r="F32" s="249"/>
      <c r="G32" s="249"/>
      <c r="H32" s="249"/>
      <c r="I32" s="249"/>
      <c r="J32" s="249"/>
      <c r="K32" s="249"/>
      <c r="L32" s="264"/>
      <c r="M32" s="179">
        <v>0</v>
      </c>
      <c r="N32" s="244"/>
      <c r="O32" s="245"/>
      <c r="P32" s="181">
        <v>0</v>
      </c>
      <c r="Q32" s="217">
        <v>0</v>
      </c>
      <c r="R32" s="176"/>
      <c r="S32" s="218">
        <v>0</v>
      </c>
      <c r="T32" s="252"/>
      <c r="U32" s="219">
        <v>0</v>
      </c>
      <c r="V32" s="176"/>
      <c r="W32" s="173">
        <v>0</v>
      </c>
      <c r="X32" s="217">
        <v>0</v>
      </c>
      <c r="Y32" s="176"/>
      <c r="Z32" s="220">
        <v>0</v>
      </c>
      <c r="AA32" s="221">
        <v>0</v>
      </c>
      <c r="AB32" s="221">
        <v>0</v>
      </c>
      <c r="AC32" s="222">
        <v>0</v>
      </c>
      <c r="AD32" s="221">
        <v>0</v>
      </c>
      <c r="AE32" s="223">
        <v>0</v>
      </c>
      <c r="AF32" s="85"/>
      <c r="AG32" s="85"/>
    </row>
    <row r="33" spans="1:33" ht="15.75" customHeight="1" thickTop="1" thickBot="1" x14ac:dyDescent="0.3">
      <c r="A33" s="64"/>
      <c r="B33" s="258"/>
      <c r="C33" s="259"/>
      <c r="D33" s="258"/>
      <c r="E33" s="249"/>
      <c r="F33" s="249"/>
      <c r="G33" s="249"/>
      <c r="H33" s="249"/>
      <c r="I33" s="249"/>
      <c r="J33" s="249"/>
      <c r="K33" s="249"/>
      <c r="L33" s="264"/>
      <c r="M33" s="179">
        <v>0</v>
      </c>
      <c r="N33" s="244"/>
      <c r="O33" s="245"/>
      <c r="P33" s="181">
        <v>0</v>
      </c>
      <c r="Q33" s="217">
        <v>0</v>
      </c>
      <c r="R33" s="176"/>
      <c r="S33" s="218">
        <v>0</v>
      </c>
      <c r="T33" s="252"/>
      <c r="U33" s="219">
        <v>0</v>
      </c>
      <c r="V33" s="176"/>
      <c r="W33" s="173">
        <v>0</v>
      </c>
      <c r="X33" s="217">
        <v>0</v>
      </c>
      <c r="Y33" s="176"/>
      <c r="Z33" s="220">
        <v>0</v>
      </c>
      <c r="AA33" s="221">
        <v>0</v>
      </c>
      <c r="AB33" s="221">
        <v>0</v>
      </c>
      <c r="AC33" s="222">
        <v>0</v>
      </c>
      <c r="AD33" s="221">
        <v>0</v>
      </c>
      <c r="AE33" s="223">
        <v>0</v>
      </c>
      <c r="AF33" s="118"/>
      <c r="AG33" s="118"/>
    </row>
    <row r="34" spans="1:33" ht="15.75" customHeight="1" thickTop="1" thickBot="1" x14ac:dyDescent="0.3">
      <c r="A34" s="64"/>
      <c r="B34" s="258"/>
      <c r="C34" s="259"/>
      <c r="D34" s="258"/>
      <c r="E34" s="249"/>
      <c r="F34" s="249"/>
      <c r="G34" s="249"/>
      <c r="H34" s="249"/>
      <c r="I34" s="249"/>
      <c r="J34" s="249"/>
      <c r="K34" s="249"/>
      <c r="L34" s="264"/>
      <c r="M34" s="179">
        <v>0</v>
      </c>
      <c r="N34" s="244"/>
      <c r="O34" s="245"/>
      <c r="P34" s="181">
        <v>0</v>
      </c>
      <c r="Q34" s="217">
        <v>0</v>
      </c>
      <c r="R34" s="176"/>
      <c r="S34" s="218">
        <v>0</v>
      </c>
      <c r="T34" s="252"/>
      <c r="U34" s="219">
        <v>0</v>
      </c>
      <c r="V34" s="176"/>
      <c r="W34" s="173">
        <v>0</v>
      </c>
      <c r="X34" s="217">
        <v>0</v>
      </c>
      <c r="Y34" s="176"/>
      <c r="Z34" s="220">
        <v>0</v>
      </c>
      <c r="AA34" s="221">
        <v>0</v>
      </c>
      <c r="AB34" s="221">
        <v>0</v>
      </c>
      <c r="AC34" s="222">
        <v>0</v>
      </c>
      <c r="AD34" s="221">
        <v>0</v>
      </c>
      <c r="AE34" s="223">
        <v>0</v>
      </c>
      <c r="AF34" s="62"/>
      <c r="AG34" s="62"/>
    </row>
    <row r="35" spans="1:33" ht="15.75" customHeight="1" thickTop="1" thickBot="1" x14ac:dyDescent="0.3">
      <c r="A35" s="64"/>
      <c r="B35" s="258"/>
      <c r="C35" s="259"/>
      <c r="D35" s="258"/>
      <c r="E35" s="249"/>
      <c r="F35" s="249"/>
      <c r="G35" s="249"/>
      <c r="H35" s="249"/>
      <c r="I35" s="249"/>
      <c r="J35" s="249"/>
      <c r="K35" s="249"/>
      <c r="L35" s="264"/>
      <c r="M35" s="179">
        <v>0</v>
      </c>
      <c r="N35" s="244"/>
      <c r="O35" s="245"/>
      <c r="P35" s="181">
        <v>0</v>
      </c>
      <c r="Q35" s="217">
        <v>0</v>
      </c>
      <c r="R35" s="176"/>
      <c r="S35" s="218">
        <v>0</v>
      </c>
      <c r="T35" s="252"/>
      <c r="U35" s="219">
        <v>0</v>
      </c>
      <c r="V35" s="176"/>
      <c r="W35" s="173">
        <v>0</v>
      </c>
      <c r="X35" s="217">
        <v>0</v>
      </c>
      <c r="Y35" s="176"/>
      <c r="Z35" s="220">
        <v>0</v>
      </c>
      <c r="AA35" s="221">
        <v>0</v>
      </c>
      <c r="AB35" s="221">
        <v>0</v>
      </c>
      <c r="AC35" s="222">
        <v>0</v>
      </c>
      <c r="AD35" s="221">
        <v>0</v>
      </c>
      <c r="AE35" s="223">
        <v>0</v>
      </c>
      <c r="AF35" s="62"/>
      <c r="AG35" s="62"/>
    </row>
    <row r="36" spans="1:33" ht="15.75" customHeight="1" thickTop="1" thickBot="1" x14ac:dyDescent="0.3">
      <c r="A36" s="64"/>
      <c r="B36" s="258"/>
      <c r="C36" s="259"/>
      <c r="D36" s="258"/>
      <c r="E36" s="249"/>
      <c r="F36" s="249"/>
      <c r="G36" s="249"/>
      <c r="H36" s="249"/>
      <c r="I36" s="249"/>
      <c r="J36" s="249"/>
      <c r="K36" s="249"/>
      <c r="L36" s="264"/>
      <c r="M36" s="179">
        <v>0</v>
      </c>
      <c r="N36" s="244"/>
      <c r="O36" s="245"/>
      <c r="P36" s="181">
        <v>0</v>
      </c>
      <c r="Q36" s="217">
        <v>0</v>
      </c>
      <c r="R36" s="176"/>
      <c r="S36" s="218">
        <v>0</v>
      </c>
      <c r="T36" s="252"/>
      <c r="U36" s="219">
        <v>0</v>
      </c>
      <c r="V36" s="176"/>
      <c r="W36" s="173">
        <v>0</v>
      </c>
      <c r="X36" s="217">
        <v>0</v>
      </c>
      <c r="Y36" s="176"/>
      <c r="Z36" s="220">
        <v>0</v>
      </c>
      <c r="AA36" s="221">
        <v>0</v>
      </c>
      <c r="AB36" s="221">
        <v>0</v>
      </c>
      <c r="AC36" s="222">
        <v>0</v>
      </c>
      <c r="AD36" s="221">
        <v>0</v>
      </c>
      <c r="AE36" s="223">
        <v>0</v>
      </c>
      <c r="AF36" s="62"/>
      <c r="AG36" s="62"/>
    </row>
    <row r="37" spans="1:33" ht="15.75" customHeight="1" thickTop="1" thickBot="1" x14ac:dyDescent="0.3">
      <c r="A37" s="64"/>
      <c r="B37" s="258"/>
      <c r="C37" s="259"/>
      <c r="D37" s="258"/>
      <c r="E37" s="249"/>
      <c r="F37" s="249"/>
      <c r="G37" s="249"/>
      <c r="H37" s="249"/>
      <c r="I37" s="249"/>
      <c r="J37" s="249"/>
      <c r="K37" s="249"/>
      <c r="L37" s="264"/>
      <c r="M37" s="179">
        <v>0</v>
      </c>
      <c r="N37" s="244"/>
      <c r="O37" s="245"/>
      <c r="P37" s="181">
        <v>0</v>
      </c>
      <c r="Q37" s="217">
        <v>0</v>
      </c>
      <c r="R37" s="176"/>
      <c r="S37" s="218">
        <v>0</v>
      </c>
      <c r="T37" s="252"/>
      <c r="U37" s="219">
        <v>0</v>
      </c>
      <c r="V37" s="176"/>
      <c r="W37" s="173">
        <v>0</v>
      </c>
      <c r="X37" s="217">
        <v>0</v>
      </c>
      <c r="Y37" s="176"/>
      <c r="Z37" s="220">
        <v>0</v>
      </c>
      <c r="AA37" s="221">
        <v>0</v>
      </c>
      <c r="AB37" s="221">
        <v>0</v>
      </c>
      <c r="AC37" s="222">
        <v>0</v>
      </c>
      <c r="AD37" s="221">
        <v>0</v>
      </c>
      <c r="AE37" s="223">
        <v>0</v>
      </c>
      <c r="AF37" s="62"/>
      <c r="AG37" s="62"/>
    </row>
    <row r="38" spans="1:33" ht="15.75" customHeight="1" thickTop="1" thickBot="1" x14ac:dyDescent="0.3">
      <c r="A38" s="64"/>
      <c r="B38" s="258"/>
      <c r="C38" s="259"/>
      <c r="D38" s="258"/>
      <c r="E38" s="249"/>
      <c r="F38" s="249"/>
      <c r="G38" s="249"/>
      <c r="H38" s="249"/>
      <c r="I38" s="249"/>
      <c r="J38" s="249"/>
      <c r="K38" s="249"/>
      <c r="L38" s="264"/>
      <c r="M38" s="179">
        <v>0</v>
      </c>
      <c r="N38" s="244"/>
      <c r="O38" s="245"/>
      <c r="P38" s="181">
        <v>0</v>
      </c>
      <c r="Q38" s="217">
        <v>0</v>
      </c>
      <c r="R38" s="176"/>
      <c r="S38" s="218">
        <v>0</v>
      </c>
      <c r="T38" s="252"/>
      <c r="U38" s="219">
        <v>0</v>
      </c>
      <c r="V38" s="176"/>
      <c r="W38" s="173">
        <v>0</v>
      </c>
      <c r="X38" s="217">
        <v>0</v>
      </c>
      <c r="Y38" s="176"/>
      <c r="Z38" s="220">
        <v>0</v>
      </c>
      <c r="AA38" s="221">
        <v>0</v>
      </c>
      <c r="AB38" s="221">
        <v>0</v>
      </c>
      <c r="AC38" s="222">
        <v>0</v>
      </c>
      <c r="AD38" s="221">
        <v>0</v>
      </c>
      <c r="AE38" s="223">
        <v>0</v>
      </c>
      <c r="AF38" s="62"/>
      <c r="AG38" s="62"/>
    </row>
    <row r="39" spans="1:33" ht="15.75" customHeight="1" thickTop="1" thickBot="1" x14ac:dyDescent="0.3">
      <c r="A39" s="64"/>
      <c r="B39" s="258"/>
      <c r="C39" s="259"/>
      <c r="D39" s="258"/>
      <c r="E39" s="249"/>
      <c r="F39" s="249"/>
      <c r="G39" s="249"/>
      <c r="H39" s="249"/>
      <c r="I39" s="249"/>
      <c r="J39" s="249"/>
      <c r="K39" s="249"/>
      <c r="L39" s="264"/>
      <c r="M39" s="179">
        <v>0</v>
      </c>
      <c r="N39" s="244"/>
      <c r="O39" s="245"/>
      <c r="P39" s="181">
        <v>0</v>
      </c>
      <c r="Q39" s="217">
        <v>0</v>
      </c>
      <c r="R39" s="176"/>
      <c r="S39" s="218">
        <v>0</v>
      </c>
      <c r="T39" s="252"/>
      <c r="U39" s="219">
        <v>0</v>
      </c>
      <c r="V39" s="176"/>
      <c r="W39" s="173">
        <v>0</v>
      </c>
      <c r="X39" s="217">
        <v>0</v>
      </c>
      <c r="Y39" s="176"/>
      <c r="Z39" s="220">
        <v>0</v>
      </c>
      <c r="AA39" s="221">
        <v>0</v>
      </c>
      <c r="AB39" s="221">
        <v>0</v>
      </c>
      <c r="AC39" s="222">
        <v>0</v>
      </c>
      <c r="AD39" s="221">
        <v>0</v>
      </c>
      <c r="AE39" s="223">
        <v>0</v>
      </c>
      <c r="AF39" s="62"/>
      <c r="AG39" s="62"/>
    </row>
    <row r="40" spans="1:33" ht="15.75" customHeight="1" thickTop="1" thickBot="1" x14ac:dyDescent="0.3">
      <c r="A40" s="64"/>
      <c r="B40" s="258"/>
      <c r="C40" s="259"/>
      <c r="D40" s="258"/>
      <c r="E40" s="249"/>
      <c r="F40" s="249"/>
      <c r="G40" s="249"/>
      <c r="H40" s="249"/>
      <c r="I40" s="249"/>
      <c r="J40" s="249"/>
      <c r="K40" s="249"/>
      <c r="L40" s="264"/>
      <c r="M40" s="179">
        <v>0</v>
      </c>
      <c r="N40" s="244"/>
      <c r="O40" s="245"/>
      <c r="P40" s="181">
        <v>0</v>
      </c>
      <c r="Q40" s="217">
        <v>0</v>
      </c>
      <c r="R40" s="176"/>
      <c r="S40" s="218">
        <v>0</v>
      </c>
      <c r="T40" s="252"/>
      <c r="U40" s="219">
        <v>0</v>
      </c>
      <c r="V40" s="176"/>
      <c r="W40" s="173">
        <v>0</v>
      </c>
      <c r="X40" s="217">
        <v>0</v>
      </c>
      <c r="Y40" s="176"/>
      <c r="Z40" s="220">
        <v>0</v>
      </c>
      <c r="AA40" s="221">
        <v>0</v>
      </c>
      <c r="AB40" s="221">
        <v>0</v>
      </c>
      <c r="AC40" s="222">
        <v>0</v>
      </c>
      <c r="AD40" s="221">
        <v>0</v>
      </c>
      <c r="AE40" s="223">
        <v>0</v>
      </c>
      <c r="AF40" s="62"/>
      <c r="AG40" s="62"/>
    </row>
    <row r="41" spans="1:33" ht="15.75" customHeight="1" thickTop="1" thickBot="1" x14ac:dyDescent="0.3">
      <c r="A41" s="63"/>
      <c r="B41" s="258"/>
      <c r="C41" s="259"/>
      <c r="D41" s="258"/>
      <c r="E41" s="249"/>
      <c r="F41" s="249"/>
      <c r="G41" s="249"/>
      <c r="H41" s="249"/>
      <c r="I41" s="249"/>
      <c r="J41" s="249"/>
      <c r="K41" s="249"/>
      <c r="L41" s="264"/>
      <c r="M41" s="179">
        <v>0</v>
      </c>
      <c r="N41" s="244"/>
      <c r="O41" s="245"/>
      <c r="P41" s="181">
        <v>0</v>
      </c>
      <c r="Q41" s="217">
        <v>0</v>
      </c>
      <c r="R41" s="176"/>
      <c r="S41" s="218">
        <v>0</v>
      </c>
      <c r="T41" s="252"/>
      <c r="U41" s="219">
        <v>0</v>
      </c>
      <c r="V41" s="176"/>
      <c r="W41" s="174">
        <v>0</v>
      </c>
      <c r="X41" s="217">
        <v>0</v>
      </c>
      <c r="Y41" s="176"/>
      <c r="Z41" s="220">
        <v>0</v>
      </c>
      <c r="AA41" s="221">
        <v>0</v>
      </c>
      <c r="AB41" s="221">
        <v>0</v>
      </c>
      <c r="AC41" s="222">
        <v>0</v>
      </c>
      <c r="AD41" s="221">
        <v>0</v>
      </c>
      <c r="AE41" s="223">
        <v>0</v>
      </c>
      <c r="AF41" s="62"/>
      <c r="AG41" s="62"/>
    </row>
    <row r="42" spans="1:33" ht="15.75" customHeight="1" thickTop="1" thickBot="1" x14ac:dyDescent="0.3">
      <c r="A42" s="63"/>
      <c r="B42" s="258"/>
      <c r="C42" s="259"/>
      <c r="D42" s="258"/>
      <c r="E42" s="249"/>
      <c r="F42" s="249"/>
      <c r="G42" s="249"/>
      <c r="H42" s="249"/>
      <c r="I42" s="249"/>
      <c r="J42" s="249"/>
      <c r="K42" s="249"/>
      <c r="L42" s="264"/>
      <c r="M42" s="180">
        <v>0</v>
      </c>
      <c r="N42" s="244"/>
      <c r="O42" s="245"/>
      <c r="P42" s="181">
        <v>0</v>
      </c>
      <c r="Q42" s="217">
        <v>0</v>
      </c>
      <c r="R42" s="176"/>
      <c r="S42" s="218">
        <v>0</v>
      </c>
      <c r="T42" s="252"/>
      <c r="U42" s="219">
        <v>0</v>
      </c>
      <c r="V42" s="176"/>
      <c r="W42" s="174">
        <v>0</v>
      </c>
      <c r="X42" s="217">
        <v>0</v>
      </c>
      <c r="Y42" s="176"/>
      <c r="Z42" s="220">
        <v>0</v>
      </c>
      <c r="AA42" s="221">
        <v>0</v>
      </c>
      <c r="AB42" s="221">
        <v>0</v>
      </c>
      <c r="AC42" s="222">
        <v>0</v>
      </c>
      <c r="AD42" s="221">
        <v>0</v>
      </c>
      <c r="AE42" s="223">
        <v>0</v>
      </c>
      <c r="AF42" s="62"/>
      <c r="AG42" s="62"/>
    </row>
    <row r="43" spans="1:33" ht="15.75" customHeight="1" thickTop="1" thickBot="1" x14ac:dyDescent="0.3">
      <c r="A43" s="63"/>
      <c r="B43" s="258"/>
      <c r="C43" s="259"/>
      <c r="D43" s="258"/>
      <c r="E43" s="249"/>
      <c r="F43" s="249"/>
      <c r="G43" s="249"/>
      <c r="H43" s="249"/>
      <c r="I43" s="249"/>
      <c r="J43" s="249"/>
      <c r="K43" s="249"/>
      <c r="L43" s="264"/>
      <c r="M43" s="180">
        <v>0</v>
      </c>
      <c r="N43" s="244"/>
      <c r="O43" s="245"/>
      <c r="P43" s="181">
        <v>0</v>
      </c>
      <c r="Q43" s="217">
        <v>0</v>
      </c>
      <c r="R43" s="176"/>
      <c r="S43" s="218">
        <v>0</v>
      </c>
      <c r="T43" s="252"/>
      <c r="U43" s="219">
        <v>0</v>
      </c>
      <c r="V43" s="176"/>
      <c r="W43" s="174">
        <v>0</v>
      </c>
      <c r="X43" s="217">
        <v>0</v>
      </c>
      <c r="Y43" s="176"/>
      <c r="Z43" s="220">
        <v>0</v>
      </c>
      <c r="AA43" s="221">
        <v>0</v>
      </c>
      <c r="AB43" s="221">
        <v>0</v>
      </c>
      <c r="AC43" s="222">
        <v>0</v>
      </c>
      <c r="AD43" s="221">
        <v>0</v>
      </c>
      <c r="AE43" s="223">
        <v>0</v>
      </c>
      <c r="AF43" s="62"/>
      <c r="AG43" s="62"/>
    </row>
    <row r="44" spans="1:33" ht="15.75" customHeight="1" thickTop="1" thickBot="1" x14ac:dyDescent="0.3">
      <c r="A44" s="63"/>
      <c r="B44" s="258"/>
      <c r="C44" s="259"/>
      <c r="D44" s="258"/>
      <c r="E44" s="249"/>
      <c r="F44" s="249"/>
      <c r="G44" s="249"/>
      <c r="H44" s="249"/>
      <c r="I44" s="249"/>
      <c r="J44" s="249"/>
      <c r="K44" s="249"/>
      <c r="L44" s="264"/>
      <c r="M44" s="180">
        <v>0</v>
      </c>
      <c r="N44" s="244"/>
      <c r="O44" s="245"/>
      <c r="P44" s="181">
        <v>0</v>
      </c>
      <c r="Q44" s="217">
        <v>0</v>
      </c>
      <c r="R44" s="176"/>
      <c r="S44" s="218">
        <v>0</v>
      </c>
      <c r="T44" s="252"/>
      <c r="U44" s="219">
        <v>0</v>
      </c>
      <c r="V44" s="176"/>
      <c r="W44" s="174">
        <v>0</v>
      </c>
      <c r="X44" s="217">
        <v>0</v>
      </c>
      <c r="Y44" s="176"/>
      <c r="Z44" s="220">
        <v>0</v>
      </c>
      <c r="AA44" s="221">
        <v>0</v>
      </c>
      <c r="AB44" s="221">
        <v>0</v>
      </c>
      <c r="AC44" s="222">
        <v>0</v>
      </c>
      <c r="AD44" s="221">
        <v>0</v>
      </c>
      <c r="AE44" s="223">
        <v>0</v>
      </c>
      <c r="AF44" s="62"/>
      <c r="AG44" s="62"/>
    </row>
    <row r="45" spans="1:33" ht="15.75" customHeight="1" thickTop="1" thickBot="1" x14ac:dyDescent="0.3">
      <c r="A45" s="63"/>
      <c r="B45" s="260"/>
      <c r="C45" s="261"/>
      <c r="D45" s="260"/>
      <c r="E45" s="265"/>
      <c r="F45" s="265"/>
      <c r="G45" s="265"/>
      <c r="H45" s="265"/>
      <c r="I45" s="265"/>
      <c r="J45" s="265"/>
      <c r="K45" s="265"/>
      <c r="L45" s="266"/>
      <c r="M45" s="183">
        <v>0</v>
      </c>
      <c r="N45" s="246"/>
      <c r="O45" s="247"/>
      <c r="P45" s="184">
        <v>0</v>
      </c>
      <c r="Q45" s="224">
        <v>0</v>
      </c>
      <c r="R45" s="176"/>
      <c r="S45" s="234">
        <v>0</v>
      </c>
      <c r="T45" s="253"/>
      <c r="U45" s="235">
        <v>0</v>
      </c>
      <c r="V45" s="176"/>
      <c r="W45" s="226">
        <v>0</v>
      </c>
      <c r="X45" s="224">
        <v>0</v>
      </c>
      <c r="Y45" s="176"/>
      <c r="Z45" s="225">
        <v>0</v>
      </c>
      <c r="AA45" s="227">
        <v>0</v>
      </c>
      <c r="AB45" s="227">
        <v>0</v>
      </c>
      <c r="AC45" s="228">
        <v>0</v>
      </c>
      <c r="AD45" s="227">
        <v>0</v>
      </c>
      <c r="AE45" s="229">
        <v>0</v>
      </c>
      <c r="AF45" s="62"/>
      <c r="AG45" s="62"/>
    </row>
  </sheetData>
  <sheetProtection algorithmName="SHA-512" hashValue="AgUDe0FesVYUwX2PGAlgCcOEhS4k6oGT8NidGkgD083SCuzoLkL13wn78v5ycPCKspSx8ab4xaMsrdvhWfDqXw==" saltValue="9gn09wniNmQfWKLPaN4TJw==" spinCount="100000" sheet="1" objects="1" scenarios="1" formatCells="0" formatColumns="0" formatRows="0"/>
  <mergeCells count="8">
    <mergeCell ref="S13:U13"/>
    <mergeCell ref="W13:Y13"/>
    <mergeCell ref="Z13:AE13"/>
    <mergeCell ref="I3:J3"/>
    <mergeCell ref="I4:J4"/>
    <mergeCell ref="I5:J5"/>
    <mergeCell ref="I7:J7"/>
    <mergeCell ref="B13:Q13"/>
  </mergeCells>
  <pageMargins left="0.7" right="0.7" top="0.75" bottom="0.75" header="0" footer="0"/>
  <pageSetup orientation="landscape"/>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4125"/>
    <outlinePr summaryBelow="0" summaryRight="0"/>
  </sheetPr>
  <dimension ref="A1:AG45"/>
  <sheetViews>
    <sheetView showGridLines="0" showRowColHeaders="0" zoomScale="90" zoomScaleNormal="90" workbookViewId="0"/>
  </sheetViews>
  <sheetFormatPr defaultColWidth="14.44140625" defaultRowHeight="15" customHeight="1" x14ac:dyDescent="0.25"/>
  <cols>
    <col min="1" max="1" width="5.88671875" customWidth="1"/>
    <col min="2" max="2" width="11.33203125" customWidth="1"/>
    <col min="3" max="3" width="10.88671875" customWidth="1"/>
    <col min="4" max="4" width="9" customWidth="1"/>
    <col min="5" max="5" width="11.33203125" customWidth="1"/>
    <col min="6" max="6" width="10.88671875" customWidth="1"/>
    <col min="7" max="7" width="10.109375" customWidth="1"/>
    <col min="8" max="8" width="11.44140625" customWidth="1"/>
    <col min="9" max="9" width="9.44140625" customWidth="1"/>
    <col min="10" max="12" width="6.33203125" customWidth="1"/>
    <col min="13" max="13" width="13.5546875" customWidth="1"/>
    <col min="14" max="14" width="11.109375" customWidth="1"/>
    <col min="15" max="15" width="12.88671875" customWidth="1"/>
    <col min="16" max="16" width="14.109375" customWidth="1"/>
    <col min="17" max="17" width="12" customWidth="1"/>
    <col min="18" max="18" width="2" customWidth="1"/>
    <col min="19" max="19" width="11.44140625" customWidth="1"/>
    <col min="20" max="20" width="9.33203125" customWidth="1"/>
    <col min="21" max="21" width="12.88671875" customWidth="1"/>
    <col min="22" max="22" width="2" customWidth="1"/>
    <col min="23" max="23" width="13.33203125" customWidth="1"/>
    <col min="24" max="24" width="13.109375" customWidth="1"/>
    <col min="25" max="25" width="2" customWidth="1"/>
  </cols>
  <sheetData>
    <row r="1" spans="1:33" ht="13.2" x14ac:dyDescent="0.25">
      <c r="A1" s="61"/>
      <c r="B1" s="132" t="s">
        <v>49</v>
      </c>
      <c r="C1" s="133"/>
      <c r="D1" s="133"/>
      <c r="E1" s="187"/>
      <c r="F1" s="61"/>
      <c r="G1" s="61"/>
      <c r="H1" s="61"/>
      <c r="I1" s="61"/>
      <c r="J1" s="61"/>
      <c r="K1" s="61"/>
      <c r="L1" s="61"/>
      <c r="M1" s="61"/>
      <c r="N1" s="188"/>
      <c r="O1" s="188"/>
      <c r="P1" s="188"/>
      <c r="Q1" s="61"/>
      <c r="R1" s="61"/>
      <c r="S1" s="61"/>
      <c r="T1" s="61"/>
      <c r="U1" s="62"/>
      <c r="V1" s="61"/>
      <c r="W1" s="62"/>
      <c r="X1" s="62"/>
      <c r="Y1" s="62"/>
      <c r="Z1" s="62"/>
      <c r="AA1" s="62"/>
      <c r="AB1" s="62"/>
      <c r="AC1" s="62"/>
      <c r="AD1" s="62"/>
      <c r="AE1" s="62"/>
      <c r="AF1" s="62"/>
      <c r="AG1" s="62"/>
    </row>
    <row r="2" spans="1:33" ht="13.2" x14ac:dyDescent="0.25">
      <c r="A2" s="63"/>
      <c r="B2" s="132" t="s">
        <v>50</v>
      </c>
      <c r="C2" s="132"/>
      <c r="D2" s="132"/>
      <c r="E2" s="63"/>
      <c r="F2" s="63"/>
      <c r="G2" s="63"/>
      <c r="H2" s="63"/>
      <c r="I2" s="63"/>
      <c r="J2" s="63"/>
      <c r="K2" s="63"/>
      <c r="L2" s="63"/>
      <c r="M2" s="63"/>
      <c r="N2" s="64"/>
      <c r="O2" s="64"/>
      <c r="P2" s="64"/>
      <c r="Q2" s="63"/>
      <c r="R2" s="63"/>
      <c r="S2" s="63"/>
      <c r="T2" s="63"/>
      <c r="U2" s="62"/>
      <c r="V2" s="63"/>
      <c r="W2" s="62"/>
      <c r="X2" s="62"/>
      <c r="Y2" s="62"/>
      <c r="Z2" s="62"/>
      <c r="AA2" s="62"/>
      <c r="AB2" s="62"/>
      <c r="AC2" s="62"/>
      <c r="AD2" s="62"/>
      <c r="AE2" s="62"/>
      <c r="AF2" s="62"/>
      <c r="AG2" s="62"/>
    </row>
    <row r="3" spans="1:33" ht="13.2" x14ac:dyDescent="0.25">
      <c r="A3" s="65"/>
      <c r="B3" s="134"/>
      <c r="C3" s="135" t="s">
        <v>14</v>
      </c>
      <c r="D3" s="136">
        <f>DR</f>
        <v>0.1</v>
      </c>
      <c r="F3" s="137"/>
      <c r="G3" s="138"/>
      <c r="H3" s="16" t="str">
        <f>SP&amp;" Year Undiscounted Costs:"</f>
        <v>10 Year Undiscounted Costs:</v>
      </c>
      <c r="I3" s="300">
        <f>SUM(W16:W45)</f>
        <v>191638.32479979048</v>
      </c>
      <c r="J3" s="301"/>
      <c r="K3" s="62"/>
      <c r="N3" s="189" t="s">
        <v>19</v>
      </c>
      <c r="O3" s="190" t="s">
        <v>32</v>
      </c>
      <c r="P3" s="191" t="s">
        <v>33</v>
      </c>
      <c r="R3" s="62"/>
      <c r="S3" s="62"/>
      <c r="T3" s="62"/>
      <c r="U3" s="62"/>
      <c r="V3" s="62"/>
      <c r="W3" s="62"/>
      <c r="X3" s="62"/>
      <c r="Y3" s="62"/>
      <c r="Z3" s="62"/>
      <c r="AA3" s="62"/>
      <c r="AB3" s="62"/>
      <c r="AC3" s="62"/>
      <c r="AD3" s="62"/>
      <c r="AE3" s="62"/>
      <c r="AF3" s="62"/>
      <c r="AG3" s="62"/>
    </row>
    <row r="4" spans="1:33" ht="13.2" x14ac:dyDescent="0.25">
      <c r="A4" s="65"/>
      <c r="B4" s="140"/>
      <c r="C4" s="141" t="s">
        <v>16</v>
      </c>
      <c r="D4" s="142">
        <f>Inf</f>
        <v>0.03</v>
      </c>
      <c r="F4" s="143"/>
      <c r="G4" s="144"/>
      <c r="H4" s="141" t="str">
        <f>"NPV Alt 2 "&amp;SP&amp;" Year Total:"</f>
        <v>NPV Alt 2 10 Year Total:</v>
      </c>
      <c r="I4" s="302">
        <f>SUM(X16:X45)</f>
        <v>126506.22546958455</v>
      </c>
      <c r="J4" s="303"/>
      <c r="K4" s="62"/>
      <c r="N4" s="230">
        <f>IFERROR((P8/P9),"-")</f>
        <v>20.229074927532363</v>
      </c>
      <c r="O4" s="193" cm="1">
        <f t="array" ref="O4">INDEX(A:A,INDEX(_xlfn._xlws.FILTER(ROW(AE16:AE45),AE16:AE45&gt;1),1),1)</f>
        <v>4</v>
      </c>
      <c r="P4" s="194">
        <f>IFERROR(P11/P9,"-")</f>
        <v>20.229074927532363</v>
      </c>
      <c r="R4" s="62"/>
      <c r="S4" s="62"/>
      <c r="T4" s="62"/>
      <c r="U4" s="62"/>
      <c r="V4" s="62"/>
      <c r="W4" s="62"/>
      <c r="X4" s="62"/>
      <c r="Y4" s="62"/>
      <c r="Z4" s="62"/>
      <c r="AA4" s="62"/>
      <c r="AB4" s="62"/>
      <c r="AC4" s="62"/>
      <c r="AD4" s="62"/>
      <c r="AE4" s="62"/>
      <c r="AF4" s="62"/>
      <c r="AG4" s="62"/>
    </row>
    <row r="5" spans="1:33" ht="13.2" x14ac:dyDescent="0.25">
      <c r="A5" s="65"/>
      <c r="B5" s="140"/>
      <c r="C5" s="141" t="s">
        <v>15</v>
      </c>
      <c r="D5" s="147">
        <f>SP</f>
        <v>10</v>
      </c>
      <c r="F5" s="148"/>
      <c r="G5" s="149"/>
      <c r="H5" s="150" t="s">
        <v>51</v>
      </c>
      <c r="I5" s="304">
        <f t="array" ref="I5">NPV(DR,W16:W45)</f>
        <v>126506.22546958453</v>
      </c>
      <c r="J5" s="305"/>
      <c r="K5" s="62"/>
      <c r="L5" s="62"/>
      <c r="M5" s="62"/>
      <c r="N5" s="62"/>
      <c r="R5" s="62"/>
      <c r="S5" s="62"/>
      <c r="T5" s="62"/>
      <c r="U5" s="62"/>
      <c r="V5" s="62"/>
      <c r="W5" s="62"/>
      <c r="X5" s="62"/>
      <c r="Y5" s="62"/>
      <c r="Z5" s="62"/>
      <c r="AA5" s="62"/>
      <c r="AB5" s="62"/>
      <c r="AC5" s="62"/>
      <c r="AD5" s="62"/>
      <c r="AE5" s="62"/>
      <c r="AF5" s="62"/>
      <c r="AG5" s="62"/>
    </row>
    <row r="6" spans="1:33" ht="13.2" x14ac:dyDescent="0.25">
      <c r="A6" s="65"/>
      <c r="B6" s="151"/>
      <c r="C6" s="150" t="s">
        <v>52</v>
      </c>
      <c r="D6" s="240">
        <v>1</v>
      </c>
      <c r="F6" s="85"/>
      <c r="I6" s="85"/>
      <c r="J6" s="86"/>
      <c r="K6" s="62"/>
      <c r="L6" s="62"/>
      <c r="M6" s="134"/>
      <c r="N6" s="195"/>
      <c r="O6" s="16" t="s">
        <v>78</v>
      </c>
      <c r="P6" s="241">
        <v>0</v>
      </c>
      <c r="R6" s="62"/>
      <c r="S6" s="62"/>
      <c r="T6" s="62"/>
      <c r="U6" s="62"/>
      <c r="V6" s="62"/>
      <c r="W6" s="62"/>
      <c r="X6" s="62"/>
      <c r="Y6" s="62"/>
      <c r="Z6" s="62"/>
      <c r="AA6" s="62"/>
      <c r="AB6" s="62"/>
      <c r="AC6" s="62"/>
      <c r="AD6" s="62"/>
      <c r="AE6" s="62"/>
      <c r="AF6" s="62"/>
      <c r="AG6" s="62"/>
    </row>
    <row r="7" spans="1:33" ht="13.2" x14ac:dyDescent="0.25">
      <c r="A7" s="65"/>
      <c r="B7" s="85"/>
      <c r="C7" s="196"/>
      <c r="D7" s="85"/>
      <c r="E7" s="85"/>
      <c r="F7" s="85"/>
      <c r="G7" s="197"/>
      <c r="H7" s="198" t="s">
        <v>79</v>
      </c>
      <c r="I7" s="307">
        <f t="array" ref="I7">NPV(DR,U16:U45)</f>
        <v>3317.1257487493003</v>
      </c>
      <c r="J7" s="308"/>
      <c r="K7" s="62"/>
      <c r="L7" s="62"/>
      <c r="M7" s="140"/>
      <c r="O7" s="141" t="s">
        <v>80</v>
      </c>
      <c r="P7" s="199">
        <f t="array" ref="P7">INDEX(A16:AE45,MATCH(SP,A16:A45,0),31)</f>
        <v>84916.299710129446</v>
      </c>
      <c r="Q7" s="200" t="s">
        <v>81</v>
      </c>
      <c r="R7" s="62"/>
      <c r="T7" s="62"/>
      <c r="U7" s="62"/>
      <c r="V7" s="62"/>
      <c r="W7" s="62"/>
      <c r="X7" s="62"/>
      <c r="Y7" s="62"/>
      <c r="Z7" s="62"/>
      <c r="AA7" s="62"/>
      <c r="AB7" s="62"/>
      <c r="AC7" s="62"/>
      <c r="AD7" s="62"/>
      <c r="AE7" s="62"/>
      <c r="AF7" s="62"/>
      <c r="AG7" s="62"/>
    </row>
    <row r="8" spans="1:33" ht="13.2" x14ac:dyDescent="0.25">
      <c r="A8" s="65"/>
      <c r="B8" s="85"/>
      <c r="C8" s="85"/>
      <c r="D8" s="85"/>
      <c r="E8" s="85"/>
      <c r="F8" s="85"/>
      <c r="G8" s="85"/>
      <c r="H8" s="85"/>
      <c r="I8" s="85"/>
      <c r="J8" s="86"/>
      <c r="K8" s="62"/>
      <c r="L8" s="62"/>
      <c r="M8" s="140"/>
      <c r="O8" s="141" t="s">
        <v>82</v>
      </c>
      <c r="P8" s="199">
        <f>P7-P6-P9</f>
        <v>80916.299710129446</v>
      </c>
      <c r="Q8" s="200" t="s">
        <v>83</v>
      </c>
      <c r="R8" s="62"/>
      <c r="T8" s="62"/>
      <c r="U8" s="62"/>
      <c r="V8" s="62"/>
      <c r="W8" s="62"/>
      <c r="X8" s="62"/>
      <c r="Y8" s="62"/>
      <c r="Z8" s="62"/>
      <c r="AA8" s="62"/>
      <c r="AB8" s="62"/>
      <c r="AC8" s="62"/>
      <c r="AD8" s="62"/>
      <c r="AE8" s="62"/>
      <c r="AF8" s="62"/>
      <c r="AG8" s="62"/>
    </row>
    <row r="9" spans="1:33" ht="13.2" x14ac:dyDescent="0.25">
      <c r="A9" s="65"/>
      <c r="B9" s="85"/>
      <c r="C9" s="85"/>
      <c r="D9" s="85"/>
      <c r="E9" s="85"/>
      <c r="F9" s="85"/>
      <c r="G9" s="85"/>
      <c r="H9" s="85"/>
      <c r="I9" s="85"/>
      <c r="J9" s="86"/>
      <c r="K9" s="62"/>
      <c r="L9" s="62"/>
      <c r="M9" s="140"/>
      <c r="O9" s="141" t="s">
        <v>84</v>
      </c>
      <c r="P9" s="199">
        <f t="array" ref="P9">INDEX(A16:AE45,MATCH(SP,A16:A45,0),26)*-1</f>
        <v>4000</v>
      </c>
      <c r="Q9" s="200" t="s">
        <v>85</v>
      </c>
      <c r="R9" s="62"/>
      <c r="T9" s="62"/>
      <c r="U9" s="62"/>
      <c r="V9" s="62"/>
      <c r="W9" s="62"/>
      <c r="X9" s="62"/>
      <c r="Y9" s="62"/>
      <c r="Z9" s="62"/>
      <c r="AA9" s="62"/>
      <c r="AB9" s="62"/>
      <c r="AC9" s="62"/>
      <c r="AD9" s="62"/>
      <c r="AE9" s="62"/>
      <c r="AF9" s="62"/>
      <c r="AG9" s="62"/>
    </row>
    <row r="10" spans="1:33" ht="13.2" x14ac:dyDescent="0.25">
      <c r="A10" s="65"/>
      <c r="B10" s="85"/>
      <c r="C10" s="85"/>
      <c r="D10" s="85"/>
      <c r="E10" s="85"/>
      <c r="F10" s="85"/>
      <c r="G10" s="85"/>
      <c r="H10" s="85"/>
      <c r="I10" s="85"/>
      <c r="J10" s="86"/>
      <c r="K10" s="62"/>
      <c r="L10" s="62"/>
      <c r="M10" s="140"/>
      <c r="O10" s="141" t="s">
        <v>86</v>
      </c>
      <c r="P10" s="199">
        <f>D6*P9</f>
        <v>4000</v>
      </c>
      <c r="Q10" s="200" t="s">
        <v>87</v>
      </c>
      <c r="R10" s="62"/>
      <c r="T10" s="62"/>
      <c r="U10" s="62"/>
      <c r="V10" s="62"/>
      <c r="W10" s="62"/>
      <c r="X10" s="62"/>
      <c r="Y10" s="62"/>
      <c r="Z10" s="62"/>
      <c r="AA10" s="62"/>
      <c r="AB10" s="62"/>
      <c r="AC10" s="62"/>
      <c r="AD10" s="62"/>
      <c r="AE10" s="62"/>
      <c r="AF10" s="62"/>
      <c r="AG10" s="62"/>
    </row>
    <row r="11" spans="1:33" ht="13.2" x14ac:dyDescent="0.25">
      <c r="A11" s="65"/>
      <c r="B11" s="85"/>
      <c r="C11" s="85"/>
      <c r="D11" s="85"/>
      <c r="E11" s="85"/>
      <c r="F11" s="85"/>
      <c r="G11" s="85"/>
      <c r="H11" s="85"/>
      <c r="I11" s="85"/>
      <c r="J11" s="85"/>
      <c r="K11" s="85"/>
      <c r="L11" s="85"/>
      <c r="M11" s="201"/>
      <c r="N11" s="202"/>
      <c r="O11" s="150" t="s">
        <v>88</v>
      </c>
      <c r="P11" s="203">
        <f>P8</f>
        <v>80916.299710129446</v>
      </c>
      <c r="Q11" s="200" t="s">
        <v>89</v>
      </c>
      <c r="R11" s="11"/>
      <c r="T11" s="62"/>
      <c r="U11" s="62"/>
      <c r="V11" s="62"/>
      <c r="W11" s="62"/>
      <c r="X11" s="62"/>
      <c r="Y11" s="62"/>
      <c r="Z11" s="62"/>
      <c r="AA11" s="62"/>
      <c r="AB11" s="62"/>
      <c r="AC11" s="62"/>
      <c r="AD11" s="62"/>
      <c r="AE11" s="62"/>
      <c r="AF11" s="62"/>
      <c r="AG11" s="62"/>
    </row>
    <row r="12" spans="1:33" ht="13.2" x14ac:dyDescent="0.25">
      <c r="A12" s="65"/>
      <c r="B12" s="85"/>
      <c r="C12" s="85"/>
      <c r="D12" s="85"/>
      <c r="E12" s="85"/>
      <c r="F12" s="85"/>
      <c r="G12" s="85"/>
      <c r="H12" s="85"/>
      <c r="I12" s="85"/>
      <c r="J12" s="85"/>
      <c r="K12" s="85"/>
      <c r="L12" s="85"/>
      <c r="M12" s="86"/>
      <c r="N12" s="62"/>
      <c r="O12" s="62"/>
      <c r="P12" s="62"/>
      <c r="Q12" s="62"/>
      <c r="R12" s="62"/>
      <c r="S12" s="62"/>
      <c r="T12" s="62"/>
      <c r="U12" s="62"/>
      <c r="V12" s="62"/>
      <c r="W12" s="62"/>
      <c r="X12" s="62"/>
      <c r="Y12" s="62"/>
      <c r="Z12" s="62"/>
      <c r="AA12" s="62"/>
      <c r="AB12" s="62"/>
      <c r="AC12" s="62"/>
      <c r="AD12" s="62"/>
      <c r="AE12" s="62"/>
      <c r="AF12" s="62"/>
      <c r="AG12" s="62"/>
    </row>
    <row r="13" spans="1:33" ht="13.8" x14ac:dyDescent="0.25">
      <c r="A13" s="65"/>
      <c r="B13" s="306" t="s">
        <v>53</v>
      </c>
      <c r="C13" s="277"/>
      <c r="D13" s="277"/>
      <c r="E13" s="277"/>
      <c r="F13" s="277"/>
      <c r="G13" s="277"/>
      <c r="H13" s="277"/>
      <c r="I13" s="277"/>
      <c r="J13" s="277"/>
      <c r="K13" s="277"/>
      <c r="L13" s="277"/>
      <c r="M13" s="277"/>
      <c r="N13" s="277"/>
      <c r="O13" s="277"/>
      <c r="P13" s="277"/>
      <c r="Q13" s="277"/>
      <c r="R13" s="154"/>
      <c r="S13" s="297" t="s">
        <v>54</v>
      </c>
      <c r="T13" s="277"/>
      <c r="U13" s="277"/>
      <c r="V13" s="64"/>
      <c r="W13" s="297" t="s">
        <v>55</v>
      </c>
      <c r="X13" s="277"/>
      <c r="Y13" s="277"/>
      <c r="Z13" s="297" t="s">
        <v>32</v>
      </c>
      <c r="AA13" s="277"/>
      <c r="AB13" s="277"/>
      <c r="AC13" s="277"/>
      <c r="AD13" s="277"/>
      <c r="AE13" s="277"/>
      <c r="AF13" s="62"/>
      <c r="AG13" s="62"/>
    </row>
    <row r="14" spans="1:33" ht="13.2" x14ac:dyDescent="0.25">
      <c r="A14" s="103"/>
      <c r="B14" s="155"/>
      <c r="C14" s="156" t="s">
        <v>56</v>
      </c>
      <c r="D14" s="141"/>
      <c r="E14" s="157"/>
      <c r="F14" s="64"/>
      <c r="G14" s="64"/>
      <c r="H14" s="154"/>
      <c r="I14" s="64"/>
      <c r="J14" s="64"/>
      <c r="K14" s="64"/>
      <c r="L14" s="64"/>
      <c r="M14" s="156" t="s">
        <v>57</v>
      </c>
      <c r="N14" s="64"/>
      <c r="O14" s="64"/>
      <c r="P14" s="103"/>
      <c r="Q14" s="103"/>
      <c r="R14" s="105"/>
      <c r="S14" s="24"/>
      <c r="T14" s="158" t="s">
        <v>90</v>
      </c>
      <c r="U14" s="24"/>
      <c r="V14" s="105"/>
      <c r="W14" s="105"/>
      <c r="X14" s="105"/>
      <c r="Y14" s="105"/>
      <c r="Z14" s="105"/>
      <c r="AA14" s="105"/>
      <c r="AB14" s="204"/>
      <c r="AC14" s="204"/>
      <c r="AD14" s="105"/>
      <c r="AE14" s="105"/>
      <c r="AF14" s="105"/>
      <c r="AG14" s="105"/>
    </row>
    <row r="15" spans="1:33" ht="63.75" customHeight="1" x14ac:dyDescent="0.25">
      <c r="A15" s="159" t="s">
        <v>46</v>
      </c>
      <c r="B15" s="205" t="s">
        <v>59</v>
      </c>
      <c r="C15" s="206" t="s">
        <v>60</v>
      </c>
      <c r="D15" s="207" t="s">
        <v>61</v>
      </c>
      <c r="E15" s="208" t="s">
        <v>62</v>
      </c>
      <c r="F15" s="209" t="s">
        <v>63</v>
      </c>
      <c r="G15" s="209" t="s">
        <v>64</v>
      </c>
      <c r="H15" s="208" t="s">
        <v>65</v>
      </c>
      <c r="I15" s="209" t="s">
        <v>66</v>
      </c>
      <c r="J15" s="208" t="s">
        <v>67</v>
      </c>
      <c r="K15" s="208" t="s">
        <v>67</v>
      </c>
      <c r="L15" s="210" t="s">
        <v>67</v>
      </c>
      <c r="M15" s="211" t="s">
        <v>91</v>
      </c>
      <c r="N15" s="212" t="s">
        <v>69</v>
      </c>
      <c r="O15" s="213" t="s">
        <v>70</v>
      </c>
      <c r="P15" s="214" t="s">
        <v>92</v>
      </c>
      <c r="Q15" s="206" t="s">
        <v>93</v>
      </c>
      <c r="R15" s="169"/>
      <c r="S15" s="215" t="s">
        <v>73</v>
      </c>
      <c r="T15" s="208" t="s">
        <v>74</v>
      </c>
      <c r="U15" s="216" t="s">
        <v>94</v>
      </c>
      <c r="V15" s="169"/>
      <c r="W15" s="215" t="s">
        <v>76</v>
      </c>
      <c r="X15" s="206" t="s">
        <v>95</v>
      </c>
      <c r="Y15" s="172"/>
      <c r="Z15" s="205" t="s">
        <v>96</v>
      </c>
      <c r="AA15" s="208" t="s">
        <v>97</v>
      </c>
      <c r="AB15" s="208" t="s">
        <v>98</v>
      </c>
      <c r="AC15" s="210" t="s">
        <v>99</v>
      </c>
      <c r="AD15" s="208" t="s">
        <v>100</v>
      </c>
      <c r="AE15" s="206" t="s">
        <v>101</v>
      </c>
      <c r="AF15" s="172"/>
      <c r="AG15" s="172"/>
    </row>
    <row r="16" spans="1:33" ht="15.75" customHeight="1" thickBot="1" x14ac:dyDescent="0.3">
      <c r="A16" s="64" cm="1">
        <f t="array" ref="A16:A25">_xlfn.SEQUENCE(SP)</f>
        <v>1</v>
      </c>
      <c r="B16" s="256">
        <v>1000</v>
      </c>
      <c r="C16" s="257">
        <v>0</v>
      </c>
      <c r="D16" s="256">
        <v>20</v>
      </c>
      <c r="E16" s="262">
        <v>5000</v>
      </c>
      <c r="F16" s="262">
        <v>10000</v>
      </c>
      <c r="G16" s="262">
        <v>3000</v>
      </c>
      <c r="H16" s="262">
        <v>1000</v>
      </c>
      <c r="I16" s="262">
        <v>5</v>
      </c>
      <c r="J16" s="262"/>
      <c r="K16" s="262"/>
      <c r="L16" s="263"/>
      <c r="M16" s="179">
        <f t="array" ref="M16:M45">B16:B45+C16:C45+D16:D45+E16:E45+F16:F45+G16:G45+H16:H45+I16:I45+J16:J45+K16:K45+L16:L45</f>
        <v>20025</v>
      </c>
      <c r="N16" s="242">
        <v>100</v>
      </c>
      <c r="O16" s="243">
        <v>5000</v>
      </c>
      <c r="P16" s="181">
        <f t="array" ref="P16:P45">M16:M45+N16:N45+O16:O45</f>
        <v>25125</v>
      </c>
      <c r="Q16" s="217">
        <f t="array" ref="Q16:Q45">P16:P45*((1+Inf)^(A16:A45-1))</f>
        <v>25125</v>
      </c>
      <c r="R16" s="176"/>
      <c r="S16" s="218">
        <f t="array" ref="S16:S45">B16:B45*$D$6</f>
        <v>1000</v>
      </c>
      <c r="T16" s="251">
        <v>1</v>
      </c>
      <c r="U16" s="219">
        <f t="array" ref="U16:U45">(S16:S45+T16:T45)*((1+Inf)^(A16:A45-1))</f>
        <v>1001</v>
      </c>
      <c r="V16" s="176"/>
      <c r="W16" s="173">
        <f t="array" ref="W16:W45">Q16:Q45-U16:U45</f>
        <v>24124</v>
      </c>
      <c r="X16" s="217">
        <f t="array" ref="X16:X45">W16:W45/(1+DR)^A16:A45</f>
        <v>21930.909090909088</v>
      </c>
      <c r="Y16" s="176"/>
      <c r="Z16" s="220">
        <f t="array" ref="Z16:Z45">IF(A16:A45&lt;&gt;"",(MMULT(1*(TRANSPOSE(ROW(B16:C45))&lt;=ROW(B16:C45)),-(B16:B45+C16:C45))),0)</f>
        <v>-1000</v>
      </c>
      <c r="AA16" s="221">
        <f t="array" ref="AA16:AA45">IF(A16:A45&lt;&gt;"",(MMULT(1*(TRANSPOSE(ROW(U16:U45))&lt;=ROW(U16:U45)),U16:U45)),0)</f>
        <v>1001</v>
      </c>
      <c r="AB16" s="221">
        <f t="array" ref="AB16:AB45">IF(A16:A45&lt;&gt;"",(MMULT(1*(TRANSPOSE(ROW(Q16:Q45))&lt;=ROW(Q16:Q45)),Q16-Q16:Q45)),0)</f>
        <v>0</v>
      </c>
      <c r="AC16" s="222">
        <f t="array" ref="AC16:AC45">IF(A16:A45&lt;&gt;"",Z16:Z45+AA16:AA45+AB16:AB45,0)</f>
        <v>1</v>
      </c>
      <c r="AD16" s="221">
        <f t="array" ref="AD16:AD45">IF(A16:A45&lt;&gt;"",'SQ Mgmt'!W12:W41-W16:W45,0)</f>
        <v>0</v>
      </c>
      <c r="AE16" s="223">
        <f t="array" ref="AE16:AE45">IF(A16:A45&lt;&gt;"",(MMULT(1*(TRANSPOSE(ROW(AD16:AD45))&lt;=ROW(AD16:AD45)),AD16:AD45)),0)</f>
        <v>0</v>
      </c>
      <c r="AF16" s="62"/>
      <c r="AG16" s="62"/>
    </row>
    <row r="17" spans="1:33" ht="15.75" customHeight="1" thickTop="1" thickBot="1" x14ac:dyDescent="0.3">
      <c r="A17" s="64">
        <v>2</v>
      </c>
      <c r="B17" s="258">
        <v>1000</v>
      </c>
      <c r="C17" s="259">
        <v>0</v>
      </c>
      <c r="D17" s="258">
        <v>20</v>
      </c>
      <c r="E17" s="249">
        <v>5000</v>
      </c>
      <c r="F17" s="249">
        <v>9000</v>
      </c>
      <c r="G17" s="249">
        <v>5000</v>
      </c>
      <c r="H17" s="249">
        <v>1000</v>
      </c>
      <c r="I17" s="249">
        <v>5</v>
      </c>
      <c r="J17" s="249"/>
      <c r="K17" s="249"/>
      <c r="L17" s="264"/>
      <c r="M17" s="179">
        <v>21025</v>
      </c>
      <c r="N17" s="244">
        <v>100</v>
      </c>
      <c r="O17" s="245">
        <v>5000</v>
      </c>
      <c r="P17" s="181">
        <v>26125</v>
      </c>
      <c r="Q17" s="217">
        <v>26908.75</v>
      </c>
      <c r="R17" s="176"/>
      <c r="S17" s="218">
        <v>1000</v>
      </c>
      <c r="T17" s="252">
        <v>1</v>
      </c>
      <c r="U17" s="219">
        <v>1031.03</v>
      </c>
      <c r="V17" s="176"/>
      <c r="W17" s="173">
        <v>25877.72</v>
      </c>
      <c r="X17" s="217">
        <v>21386.545454545452</v>
      </c>
      <c r="Y17" s="176"/>
      <c r="Z17" s="220">
        <v>-2000</v>
      </c>
      <c r="AA17" s="221">
        <v>2032.03</v>
      </c>
      <c r="AB17" s="221">
        <v>-1783.75</v>
      </c>
      <c r="AC17" s="222">
        <v>-1751.72</v>
      </c>
      <c r="AD17" s="221">
        <v>-1030</v>
      </c>
      <c r="AE17" s="223">
        <v>-1030</v>
      </c>
      <c r="AF17" s="118"/>
      <c r="AG17" s="118"/>
    </row>
    <row r="18" spans="1:33" ht="15.75" customHeight="1" thickTop="1" thickBot="1" x14ac:dyDescent="0.3">
      <c r="A18" s="64">
        <v>3</v>
      </c>
      <c r="B18" s="258">
        <v>1000</v>
      </c>
      <c r="C18" s="259">
        <v>0</v>
      </c>
      <c r="D18" s="258">
        <v>20</v>
      </c>
      <c r="E18" s="249">
        <v>7000</v>
      </c>
      <c r="F18" s="249">
        <v>7000</v>
      </c>
      <c r="G18" s="249">
        <v>6000</v>
      </c>
      <c r="H18" s="249">
        <v>1000</v>
      </c>
      <c r="I18" s="249">
        <v>5</v>
      </c>
      <c r="J18" s="249"/>
      <c r="K18" s="249"/>
      <c r="L18" s="264"/>
      <c r="M18" s="179">
        <v>22025</v>
      </c>
      <c r="N18" s="244">
        <v>100</v>
      </c>
      <c r="O18" s="245">
        <v>5000</v>
      </c>
      <c r="P18" s="181">
        <v>27125</v>
      </c>
      <c r="Q18" s="217">
        <v>28776.912499999999</v>
      </c>
      <c r="R18" s="176"/>
      <c r="S18" s="218">
        <v>1000</v>
      </c>
      <c r="T18" s="252">
        <v>3</v>
      </c>
      <c r="U18" s="219">
        <v>1064.0826999999999</v>
      </c>
      <c r="V18" s="176"/>
      <c r="W18" s="173">
        <v>27712.8298</v>
      </c>
      <c r="X18" s="217">
        <v>20821.059203606303</v>
      </c>
      <c r="Y18" s="176"/>
      <c r="Z18" s="220">
        <v>-3000</v>
      </c>
      <c r="AA18" s="221">
        <v>3096.1126999999997</v>
      </c>
      <c r="AB18" s="221">
        <v>-5435.6624999999985</v>
      </c>
      <c r="AC18" s="222">
        <v>-5339.5497999999989</v>
      </c>
      <c r="AD18" s="221">
        <v>-2119.6782000000021</v>
      </c>
      <c r="AE18" s="223">
        <v>-3149.6782000000021</v>
      </c>
      <c r="AF18" s="118"/>
      <c r="AG18" s="118"/>
    </row>
    <row r="19" spans="1:33" ht="15.75" customHeight="1" thickTop="1" thickBot="1" x14ac:dyDescent="0.3">
      <c r="A19" s="64">
        <v>4</v>
      </c>
      <c r="B19" s="258">
        <v>500</v>
      </c>
      <c r="C19" s="259">
        <v>0</v>
      </c>
      <c r="D19" s="258">
        <v>10</v>
      </c>
      <c r="E19" s="249">
        <v>4000</v>
      </c>
      <c r="F19" s="249">
        <v>6000</v>
      </c>
      <c r="G19" s="249">
        <v>6000</v>
      </c>
      <c r="H19" s="249">
        <v>1000</v>
      </c>
      <c r="I19" s="249">
        <v>5</v>
      </c>
      <c r="J19" s="249"/>
      <c r="K19" s="249"/>
      <c r="L19" s="264"/>
      <c r="M19" s="179">
        <v>17515</v>
      </c>
      <c r="N19" s="244">
        <v>90</v>
      </c>
      <c r="O19" s="245">
        <v>4000</v>
      </c>
      <c r="P19" s="181">
        <v>21605</v>
      </c>
      <c r="Q19" s="217">
        <v>23608.366835000001</v>
      </c>
      <c r="R19" s="176"/>
      <c r="S19" s="218">
        <v>500</v>
      </c>
      <c r="T19" s="252">
        <v>5</v>
      </c>
      <c r="U19" s="219">
        <v>551.827135</v>
      </c>
      <c r="V19" s="176"/>
      <c r="W19" s="173">
        <v>23056.539700000001</v>
      </c>
      <c r="X19" s="217">
        <v>15747.926849258927</v>
      </c>
      <c r="Y19" s="176"/>
      <c r="Z19" s="220">
        <v>-3500</v>
      </c>
      <c r="AA19" s="221">
        <v>3647.9398349999997</v>
      </c>
      <c r="AB19" s="221">
        <v>-3919.0293349999993</v>
      </c>
      <c r="AC19" s="222">
        <v>-3771.0894999999996</v>
      </c>
      <c r="AD19" s="221">
        <v>3304.4064479999979</v>
      </c>
      <c r="AE19" s="223">
        <v>154.7282479999958</v>
      </c>
      <c r="AF19" s="118"/>
      <c r="AG19" s="118"/>
    </row>
    <row r="20" spans="1:33" ht="15.75" customHeight="1" thickTop="1" thickBot="1" x14ac:dyDescent="0.3">
      <c r="A20" s="64">
        <v>5</v>
      </c>
      <c r="B20" s="258">
        <v>500</v>
      </c>
      <c r="C20" s="259">
        <v>0</v>
      </c>
      <c r="D20" s="258">
        <v>10</v>
      </c>
      <c r="E20" s="249">
        <v>4000</v>
      </c>
      <c r="F20" s="249">
        <v>4000</v>
      </c>
      <c r="G20" s="249">
        <v>6000</v>
      </c>
      <c r="H20" s="249">
        <v>750</v>
      </c>
      <c r="I20" s="249">
        <v>5</v>
      </c>
      <c r="J20" s="249"/>
      <c r="K20" s="249"/>
      <c r="L20" s="264"/>
      <c r="M20" s="179">
        <v>15265</v>
      </c>
      <c r="N20" s="244">
        <v>80</v>
      </c>
      <c r="O20" s="245">
        <v>3500</v>
      </c>
      <c r="P20" s="181">
        <v>18845</v>
      </c>
      <c r="Q20" s="217">
        <v>21210.213524449999</v>
      </c>
      <c r="R20" s="176"/>
      <c r="S20" s="218">
        <v>500</v>
      </c>
      <c r="T20" s="252">
        <v>6</v>
      </c>
      <c r="U20" s="219">
        <v>569.50745785999993</v>
      </c>
      <c r="V20" s="176"/>
      <c r="W20" s="173">
        <v>20640.706066589999</v>
      </c>
      <c r="X20" s="217">
        <v>12816.254519742188</v>
      </c>
      <c r="Y20" s="176"/>
      <c r="Z20" s="220">
        <v>-4000</v>
      </c>
      <c r="AA20" s="221">
        <v>4217.4472928599998</v>
      </c>
      <c r="AB20" s="221">
        <v>-4.2428594499979226</v>
      </c>
      <c r="AC20" s="222">
        <v>213.20443341000191</v>
      </c>
      <c r="AD20" s="221">
        <v>6511.0684658499995</v>
      </c>
      <c r="AE20" s="223">
        <v>6665.7967138499953</v>
      </c>
      <c r="AF20" s="118"/>
      <c r="AG20" s="118"/>
    </row>
    <row r="21" spans="1:33" ht="15.75" customHeight="1" thickTop="1" thickBot="1" x14ac:dyDescent="0.3">
      <c r="A21" s="64">
        <v>6</v>
      </c>
      <c r="B21" s="258">
        <v>0</v>
      </c>
      <c r="C21" s="259">
        <v>0</v>
      </c>
      <c r="D21" s="258">
        <v>5</v>
      </c>
      <c r="E21" s="249">
        <v>3000</v>
      </c>
      <c r="F21" s="249">
        <v>4000</v>
      </c>
      <c r="G21" s="249">
        <v>5000</v>
      </c>
      <c r="H21" s="249">
        <v>750</v>
      </c>
      <c r="I21" s="249">
        <v>4</v>
      </c>
      <c r="J21" s="249"/>
      <c r="K21" s="249"/>
      <c r="L21" s="264"/>
      <c r="M21" s="179">
        <v>12759</v>
      </c>
      <c r="N21" s="244">
        <v>70</v>
      </c>
      <c r="O21" s="245">
        <v>2500</v>
      </c>
      <c r="P21" s="181">
        <v>15329</v>
      </c>
      <c r="Q21" s="217">
        <v>17770.512284944696</v>
      </c>
      <c r="R21" s="176"/>
      <c r="S21" s="218">
        <v>0</v>
      </c>
      <c r="T21" s="252">
        <v>7</v>
      </c>
      <c r="U21" s="219">
        <v>8.114918520099998</v>
      </c>
      <c r="V21" s="176"/>
      <c r="W21" s="173">
        <v>17762.397366424597</v>
      </c>
      <c r="X21" s="217">
        <v>10026.410248602553</v>
      </c>
      <c r="Y21" s="176"/>
      <c r="Z21" s="220">
        <v>-4000</v>
      </c>
      <c r="AA21" s="221">
        <v>4225.5622113801001</v>
      </c>
      <c r="AB21" s="221">
        <v>7350.2448556053059</v>
      </c>
      <c r="AC21" s="222">
        <v>7575.807066985406</v>
      </c>
      <c r="AD21" s="221">
        <v>10203.9304019886</v>
      </c>
      <c r="AE21" s="223">
        <v>16869.727115838596</v>
      </c>
      <c r="AF21" s="118"/>
      <c r="AG21" s="118"/>
    </row>
    <row r="22" spans="1:33" ht="15.75" customHeight="1" thickTop="1" thickBot="1" x14ac:dyDescent="0.3">
      <c r="A22" s="64">
        <v>7</v>
      </c>
      <c r="B22" s="258">
        <v>0</v>
      </c>
      <c r="C22" s="259">
        <v>0</v>
      </c>
      <c r="D22" s="258">
        <v>5</v>
      </c>
      <c r="E22" s="249">
        <v>3000</v>
      </c>
      <c r="F22" s="249">
        <v>3500</v>
      </c>
      <c r="G22" s="249">
        <v>4000</v>
      </c>
      <c r="H22" s="249">
        <v>750</v>
      </c>
      <c r="I22" s="249">
        <v>4</v>
      </c>
      <c r="J22" s="249"/>
      <c r="K22" s="249"/>
      <c r="L22" s="264"/>
      <c r="M22" s="179">
        <v>11259</v>
      </c>
      <c r="N22" s="244">
        <v>60</v>
      </c>
      <c r="O22" s="245">
        <v>2000</v>
      </c>
      <c r="P22" s="181">
        <v>13319</v>
      </c>
      <c r="Q22" s="217">
        <v>15903.582537469751</v>
      </c>
      <c r="R22" s="176"/>
      <c r="S22" s="218">
        <v>0</v>
      </c>
      <c r="T22" s="252">
        <v>8</v>
      </c>
      <c r="U22" s="219">
        <v>9.5524183722319993</v>
      </c>
      <c r="V22" s="176"/>
      <c r="W22" s="173">
        <v>15894.030119097519</v>
      </c>
      <c r="X22" s="217">
        <v>8156.1505870182536</v>
      </c>
      <c r="Y22" s="176"/>
      <c r="Z22" s="220">
        <v>-4000</v>
      </c>
      <c r="AA22" s="221">
        <v>4235.1146297523319</v>
      </c>
      <c r="AB22" s="221">
        <v>16571.662318135554</v>
      </c>
      <c r="AC22" s="222">
        <v>16806.776947887884</v>
      </c>
      <c r="AD22" s="221">
        <v>12911.287482368072</v>
      </c>
      <c r="AE22" s="223">
        <v>29781.014598206668</v>
      </c>
      <c r="AF22" s="118"/>
      <c r="AG22" s="118"/>
    </row>
    <row r="23" spans="1:33" ht="15.75" customHeight="1" thickTop="1" thickBot="1" x14ac:dyDescent="0.3">
      <c r="A23" s="64">
        <v>8</v>
      </c>
      <c r="B23" s="258">
        <v>0</v>
      </c>
      <c r="C23" s="259">
        <v>0</v>
      </c>
      <c r="D23" s="258">
        <v>5</v>
      </c>
      <c r="E23" s="249">
        <v>3000</v>
      </c>
      <c r="F23" s="249">
        <v>3000</v>
      </c>
      <c r="G23" s="249">
        <v>2000</v>
      </c>
      <c r="H23" s="249">
        <v>750</v>
      </c>
      <c r="I23" s="249">
        <v>3</v>
      </c>
      <c r="J23" s="249"/>
      <c r="K23" s="249"/>
      <c r="L23" s="264"/>
      <c r="M23" s="179">
        <v>8758</v>
      </c>
      <c r="N23" s="244">
        <v>50</v>
      </c>
      <c r="O23" s="245">
        <v>2000</v>
      </c>
      <c r="P23" s="181">
        <v>10808</v>
      </c>
      <c r="Q23" s="217">
        <v>13292.476737511995</v>
      </c>
      <c r="R23" s="176"/>
      <c r="S23" s="218">
        <v>0</v>
      </c>
      <c r="T23" s="252">
        <v>9</v>
      </c>
      <c r="U23" s="219">
        <v>11.068864788823831</v>
      </c>
      <c r="V23" s="176"/>
      <c r="W23" s="173">
        <v>13281.407872723172</v>
      </c>
      <c r="X23" s="217">
        <v>6195.8747922010125</v>
      </c>
      <c r="Y23" s="176"/>
      <c r="Z23" s="220">
        <v>-4000</v>
      </c>
      <c r="AA23" s="221">
        <v>4246.1834945411556</v>
      </c>
      <c r="AB23" s="221">
        <v>28404.185580623558</v>
      </c>
      <c r="AC23" s="222">
        <v>28650.369075164715</v>
      </c>
      <c r="AD23" s="221">
        <v>16388.069256786392</v>
      </c>
      <c r="AE23" s="223">
        <v>46169.083854993063</v>
      </c>
      <c r="AF23" s="118"/>
      <c r="AG23" s="118"/>
    </row>
    <row r="24" spans="1:33" ht="15.75" customHeight="1" thickTop="1" thickBot="1" x14ac:dyDescent="0.3">
      <c r="A24" s="64">
        <v>9</v>
      </c>
      <c r="B24" s="258">
        <v>0</v>
      </c>
      <c r="C24" s="259">
        <v>0</v>
      </c>
      <c r="D24" s="258">
        <v>5</v>
      </c>
      <c r="E24" s="249">
        <v>3000</v>
      </c>
      <c r="F24" s="249">
        <v>2500</v>
      </c>
      <c r="G24" s="249">
        <v>2000</v>
      </c>
      <c r="H24" s="249">
        <v>600</v>
      </c>
      <c r="I24" s="249">
        <v>3</v>
      </c>
      <c r="J24" s="249"/>
      <c r="K24" s="249"/>
      <c r="L24" s="264"/>
      <c r="M24" s="179">
        <v>8108</v>
      </c>
      <c r="N24" s="244">
        <v>40</v>
      </c>
      <c r="O24" s="245">
        <v>1000</v>
      </c>
      <c r="P24" s="181">
        <v>9148</v>
      </c>
      <c r="Q24" s="217">
        <v>11588.41270453391</v>
      </c>
      <c r="R24" s="176"/>
      <c r="S24" s="218">
        <v>0</v>
      </c>
      <c r="T24" s="252">
        <v>10</v>
      </c>
      <c r="U24" s="219">
        <v>12.667700813876159</v>
      </c>
      <c r="V24" s="176"/>
      <c r="W24" s="173">
        <v>11575.745003720034</v>
      </c>
      <c r="X24" s="217">
        <v>4909.2458869648553</v>
      </c>
      <c r="Y24" s="176"/>
      <c r="Z24" s="220">
        <v>-4000</v>
      </c>
      <c r="AA24" s="221">
        <v>4258.8511953550315</v>
      </c>
      <c r="AB24" s="221">
        <v>41940.77287608965</v>
      </c>
      <c r="AC24" s="222">
        <v>42199.624071444683</v>
      </c>
      <c r="AD24" s="221">
        <v>18983.816439674811</v>
      </c>
      <c r="AE24" s="223">
        <v>65152.900294667874</v>
      </c>
      <c r="AF24" s="118"/>
      <c r="AG24" s="118"/>
    </row>
    <row r="25" spans="1:33" ht="15.75" customHeight="1" thickTop="1" thickBot="1" x14ac:dyDescent="0.3">
      <c r="A25" s="64">
        <v>10</v>
      </c>
      <c r="B25" s="258">
        <v>0</v>
      </c>
      <c r="C25" s="259">
        <v>0</v>
      </c>
      <c r="D25" s="258">
        <v>5</v>
      </c>
      <c r="E25" s="249">
        <v>3000</v>
      </c>
      <c r="F25" s="249">
        <v>2500</v>
      </c>
      <c r="G25" s="249">
        <v>2000</v>
      </c>
      <c r="H25" s="249">
        <v>550</v>
      </c>
      <c r="I25" s="249">
        <v>2</v>
      </c>
      <c r="J25" s="249"/>
      <c r="K25" s="249"/>
      <c r="L25" s="264"/>
      <c r="M25" s="179">
        <v>8057</v>
      </c>
      <c r="N25" s="244">
        <v>30</v>
      </c>
      <c r="O25" s="245">
        <v>900</v>
      </c>
      <c r="P25" s="181">
        <v>8987</v>
      </c>
      <c r="Q25" s="217">
        <v>11725.996603073419</v>
      </c>
      <c r="R25" s="176"/>
      <c r="S25" s="218">
        <v>0</v>
      </c>
      <c r="T25" s="252">
        <v>10</v>
      </c>
      <c r="U25" s="219">
        <v>13.047731838292444</v>
      </c>
      <c r="V25" s="176"/>
      <c r="W25" s="173">
        <v>11712.948871235127</v>
      </c>
      <c r="X25" s="217">
        <v>4515.8488367359087</v>
      </c>
      <c r="Y25" s="176"/>
      <c r="Z25" s="220">
        <v>-4000</v>
      </c>
      <c r="AA25" s="221">
        <v>4271.8989271933242</v>
      </c>
      <c r="AB25" s="221">
        <v>55339.776273016229</v>
      </c>
      <c r="AC25" s="222">
        <v>55611.675200209553</v>
      </c>
      <c r="AD25" s="221">
        <v>19763.399415461565</v>
      </c>
      <c r="AE25" s="223">
        <v>84916.299710129446</v>
      </c>
      <c r="AF25" s="118"/>
      <c r="AG25" s="118"/>
    </row>
    <row r="26" spans="1:33" ht="15.75" customHeight="1" thickTop="1" thickBot="1" x14ac:dyDescent="0.3">
      <c r="A26" s="64"/>
      <c r="B26" s="258"/>
      <c r="C26" s="259"/>
      <c r="D26" s="258"/>
      <c r="E26" s="249"/>
      <c r="F26" s="249"/>
      <c r="G26" s="249"/>
      <c r="H26" s="249"/>
      <c r="I26" s="249"/>
      <c r="J26" s="249"/>
      <c r="K26" s="249"/>
      <c r="L26" s="264"/>
      <c r="M26" s="179">
        <v>0</v>
      </c>
      <c r="N26" s="244"/>
      <c r="O26" s="245"/>
      <c r="P26" s="181">
        <v>0</v>
      </c>
      <c r="Q26" s="217">
        <v>0</v>
      </c>
      <c r="R26" s="176"/>
      <c r="S26" s="218">
        <v>0</v>
      </c>
      <c r="T26" s="252"/>
      <c r="U26" s="219">
        <v>0</v>
      </c>
      <c r="V26" s="176"/>
      <c r="W26" s="173">
        <v>0</v>
      </c>
      <c r="X26" s="217">
        <v>0</v>
      </c>
      <c r="Y26" s="176"/>
      <c r="Z26" s="220">
        <v>0</v>
      </c>
      <c r="AA26" s="221">
        <v>0</v>
      </c>
      <c r="AB26" s="221">
        <v>0</v>
      </c>
      <c r="AC26" s="222">
        <v>0</v>
      </c>
      <c r="AD26" s="221">
        <v>0</v>
      </c>
      <c r="AE26" s="223">
        <v>0</v>
      </c>
      <c r="AF26" s="118"/>
      <c r="AG26" s="118"/>
    </row>
    <row r="27" spans="1:33" ht="15.75" customHeight="1" thickTop="1" thickBot="1" x14ac:dyDescent="0.3">
      <c r="A27" s="64"/>
      <c r="B27" s="258"/>
      <c r="C27" s="259"/>
      <c r="D27" s="258"/>
      <c r="E27" s="249"/>
      <c r="F27" s="249"/>
      <c r="G27" s="249"/>
      <c r="H27" s="249"/>
      <c r="I27" s="249"/>
      <c r="J27" s="249"/>
      <c r="K27" s="249"/>
      <c r="L27" s="264"/>
      <c r="M27" s="179">
        <v>0</v>
      </c>
      <c r="N27" s="244"/>
      <c r="O27" s="245"/>
      <c r="P27" s="181">
        <v>0</v>
      </c>
      <c r="Q27" s="217">
        <v>0</v>
      </c>
      <c r="R27" s="176"/>
      <c r="S27" s="218">
        <v>0</v>
      </c>
      <c r="T27" s="252"/>
      <c r="U27" s="219">
        <v>0</v>
      </c>
      <c r="V27" s="176"/>
      <c r="W27" s="173">
        <v>0</v>
      </c>
      <c r="X27" s="217">
        <v>0</v>
      </c>
      <c r="Y27" s="176"/>
      <c r="Z27" s="220">
        <v>0</v>
      </c>
      <c r="AA27" s="221">
        <v>0</v>
      </c>
      <c r="AB27" s="221">
        <v>0</v>
      </c>
      <c r="AC27" s="222">
        <v>0</v>
      </c>
      <c r="AD27" s="221">
        <v>0</v>
      </c>
      <c r="AE27" s="223">
        <v>0</v>
      </c>
      <c r="AF27" s="62"/>
      <c r="AG27" s="62"/>
    </row>
    <row r="28" spans="1:33" ht="15.75" customHeight="1" thickTop="1" thickBot="1" x14ac:dyDescent="0.3">
      <c r="A28" s="64"/>
      <c r="B28" s="258"/>
      <c r="C28" s="259"/>
      <c r="D28" s="258"/>
      <c r="E28" s="249"/>
      <c r="F28" s="249"/>
      <c r="G28" s="249"/>
      <c r="H28" s="249"/>
      <c r="I28" s="249"/>
      <c r="J28" s="249"/>
      <c r="K28" s="249"/>
      <c r="L28" s="264"/>
      <c r="M28" s="179">
        <v>0</v>
      </c>
      <c r="N28" s="244"/>
      <c r="O28" s="245"/>
      <c r="P28" s="181">
        <v>0</v>
      </c>
      <c r="Q28" s="217">
        <v>0</v>
      </c>
      <c r="R28" s="176"/>
      <c r="S28" s="218">
        <v>0</v>
      </c>
      <c r="T28" s="252"/>
      <c r="U28" s="219">
        <v>0</v>
      </c>
      <c r="V28" s="176"/>
      <c r="W28" s="173">
        <v>0</v>
      </c>
      <c r="X28" s="217">
        <v>0</v>
      </c>
      <c r="Y28" s="176"/>
      <c r="Z28" s="220">
        <v>0</v>
      </c>
      <c r="AA28" s="221">
        <v>0</v>
      </c>
      <c r="AB28" s="221">
        <v>0</v>
      </c>
      <c r="AC28" s="222">
        <v>0</v>
      </c>
      <c r="AD28" s="221">
        <v>0</v>
      </c>
      <c r="AE28" s="223">
        <v>0</v>
      </c>
      <c r="AF28" s="118"/>
      <c r="AG28" s="118"/>
    </row>
    <row r="29" spans="1:33" ht="15.75" customHeight="1" thickTop="1" thickBot="1" x14ac:dyDescent="0.3">
      <c r="A29" s="64"/>
      <c r="B29" s="258"/>
      <c r="C29" s="259"/>
      <c r="D29" s="258"/>
      <c r="E29" s="249"/>
      <c r="F29" s="249"/>
      <c r="G29" s="249"/>
      <c r="H29" s="249"/>
      <c r="I29" s="249"/>
      <c r="J29" s="249"/>
      <c r="K29" s="249"/>
      <c r="L29" s="264"/>
      <c r="M29" s="179">
        <v>0</v>
      </c>
      <c r="N29" s="244"/>
      <c r="O29" s="245"/>
      <c r="P29" s="181">
        <v>0</v>
      </c>
      <c r="Q29" s="217">
        <v>0</v>
      </c>
      <c r="R29" s="176"/>
      <c r="S29" s="218">
        <v>0</v>
      </c>
      <c r="T29" s="252"/>
      <c r="U29" s="219">
        <v>0</v>
      </c>
      <c r="V29" s="176"/>
      <c r="W29" s="173">
        <v>0</v>
      </c>
      <c r="X29" s="217">
        <v>0</v>
      </c>
      <c r="Y29" s="176"/>
      <c r="Z29" s="220">
        <v>0</v>
      </c>
      <c r="AA29" s="221">
        <v>0</v>
      </c>
      <c r="AB29" s="221">
        <v>0</v>
      </c>
      <c r="AC29" s="222">
        <v>0</v>
      </c>
      <c r="AD29" s="221">
        <v>0</v>
      </c>
      <c r="AE29" s="223">
        <v>0</v>
      </c>
      <c r="AF29" s="118"/>
      <c r="AG29" s="118"/>
    </row>
    <row r="30" spans="1:33" ht="15.75" customHeight="1" thickTop="1" thickBot="1" x14ac:dyDescent="0.3">
      <c r="A30" s="64"/>
      <c r="B30" s="258"/>
      <c r="C30" s="259"/>
      <c r="D30" s="258"/>
      <c r="E30" s="249"/>
      <c r="F30" s="249"/>
      <c r="G30" s="249"/>
      <c r="H30" s="249"/>
      <c r="I30" s="249"/>
      <c r="J30" s="249"/>
      <c r="K30" s="249"/>
      <c r="L30" s="264"/>
      <c r="M30" s="179">
        <v>0</v>
      </c>
      <c r="N30" s="244"/>
      <c r="O30" s="245"/>
      <c r="P30" s="181">
        <v>0</v>
      </c>
      <c r="Q30" s="217">
        <v>0</v>
      </c>
      <c r="R30" s="176"/>
      <c r="S30" s="218">
        <v>0</v>
      </c>
      <c r="T30" s="252"/>
      <c r="U30" s="219">
        <v>0</v>
      </c>
      <c r="V30" s="176"/>
      <c r="W30" s="173">
        <v>0</v>
      </c>
      <c r="X30" s="217">
        <v>0</v>
      </c>
      <c r="Y30" s="176"/>
      <c r="Z30" s="220">
        <v>0</v>
      </c>
      <c r="AA30" s="221">
        <v>0</v>
      </c>
      <c r="AB30" s="221">
        <v>0</v>
      </c>
      <c r="AC30" s="222">
        <v>0</v>
      </c>
      <c r="AD30" s="221">
        <v>0</v>
      </c>
      <c r="AE30" s="223">
        <v>0</v>
      </c>
      <c r="AF30" s="118"/>
      <c r="AG30" s="118"/>
    </row>
    <row r="31" spans="1:33" ht="15.75" customHeight="1" thickTop="1" thickBot="1" x14ac:dyDescent="0.3">
      <c r="A31" s="64"/>
      <c r="B31" s="258"/>
      <c r="C31" s="259"/>
      <c r="D31" s="258"/>
      <c r="E31" s="249"/>
      <c r="F31" s="249"/>
      <c r="G31" s="249"/>
      <c r="H31" s="249"/>
      <c r="I31" s="249"/>
      <c r="J31" s="249"/>
      <c r="K31" s="249"/>
      <c r="L31" s="264"/>
      <c r="M31" s="179">
        <v>0</v>
      </c>
      <c r="N31" s="244"/>
      <c r="O31" s="245"/>
      <c r="P31" s="181">
        <v>0</v>
      </c>
      <c r="Q31" s="217">
        <v>0</v>
      </c>
      <c r="R31" s="176"/>
      <c r="S31" s="218">
        <v>0</v>
      </c>
      <c r="T31" s="252"/>
      <c r="U31" s="219">
        <v>0</v>
      </c>
      <c r="V31" s="176"/>
      <c r="W31" s="173">
        <v>0</v>
      </c>
      <c r="X31" s="217">
        <v>0</v>
      </c>
      <c r="Y31" s="176"/>
      <c r="Z31" s="220">
        <v>0</v>
      </c>
      <c r="AA31" s="221">
        <v>0</v>
      </c>
      <c r="AB31" s="221">
        <v>0</v>
      </c>
      <c r="AC31" s="222">
        <v>0</v>
      </c>
      <c r="AD31" s="221">
        <v>0</v>
      </c>
      <c r="AE31" s="223">
        <v>0</v>
      </c>
      <c r="AF31" s="62"/>
      <c r="AG31" s="62"/>
    </row>
    <row r="32" spans="1:33" ht="15.75" customHeight="1" thickTop="1" thickBot="1" x14ac:dyDescent="0.3">
      <c r="A32" s="64"/>
      <c r="B32" s="258"/>
      <c r="C32" s="259"/>
      <c r="D32" s="258"/>
      <c r="E32" s="249"/>
      <c r="F32" s="249"/>
      <c r="G32" s="249"/>
      <c r="H32" s="249"/>
      <c r="I32" s="249"/>
      <c r="J32" s="249"/>
      <c r="K32" s="249"/>
      <c r="L32" s="264"/>
      <c r="M32" s="179">
        <v>0</v>
      </c>
      <c r="N32" s="244"/>
      <c r="O32" s="245"/>
      <c r="P32" s="181">
        <v>0</v>
      </c>
      <c r="Q32" s="217">
        <v>0</v>
      </c>
      <c r="R32" s="176"/>
      <c r="S32" s="218">
        <v>0</v>
      </c>
      <c r="T32" s="252"/>
      <c r="U32" s="219">
        <v>0</v>
      </c>
      <c r="V32" s="176"/>
      <c r="W32" s="173">
        <v>0</v>
      </c>
      <c r="X32" s="217">
        <v>0</v>
      </c>
      <c r="Y32" s="176"/>
      <c r="Z32" s="220">
        <v>0</v>
      </c>
      <c r="AA32" s="221">
        <v>0</v>
      </c>
      <c r="AB32" s="221">
        <v>0</v>
      </c>
      <c r="AC32" s="222">
        <v>0</v>
      </c>
      <c r="AD32" s="221">
        <v>0</v>
      </c>
      <c r="AE32" s="223">
        <v>0</v>
      </c>
      <c r="AF32" s="85"/>
      <c r="AG32" s="85"/>
    </row>
    <row r="33" spans="1:33" ht="15.75" customHeight="1" thickTop="1" thickBot="1" x14ac:dyDescent="0.3">
      <c r="A33" s="64"/>
      <c r="B33" s="258"/>
      <c r="C33" s="259"/>
      <c r="D33" s="258"/>
      <c r="E33" s="249"/>
      <c r="F33" s="249"/>
      <c r="G33" s="249"/>
      <c r="H33" s="249"/>
      <c r="I33" s="249"/>
      <c r="J33" s="249"/>
      <c r="K33" s="249"/>
      <c r="L33" s="264"/>
      <c r="M33" s="179">
        <v>0</v>
      </c>
      <c r="N33" s="244"/>
      <c r="O33" s="245"/>
      <c r="P33" s="181">
        <v>0</v>
      </c>
      <c r="Q33" s="217">
        <v>0</v>
      </c>
      <c r="R33" s="176"/>
      <c r="S33" s="218">
        <v>0</v>
      </c>
      <c r="T33" s="252"/>
      <c r="U33" s="219">
        <v>0</v>
      </c>
      <c r="V33" s="176"/>
      <c r="W33" s="173">
        <v>0</v>
      </c>
      <c r="X33" s="217">
        <v>0</v>
      </c>
      <c r="Y33" s="176"/>
      <c r="Z33" s="220">
        <v>0</v>
      </c>
      <c r="AA33" s="221">
        <v>0</v>
      </c>
      <c r="AB33" s="221">
        <v>0</v>
      </c>
      <c r="AC33" s="222">
        <v>0</v>
      </c>
      <c r="AD33" s="221">
        <v>0</v>
      </c>
      <c r="AE33" s="223">
        <v>0</v>
      </c>
      <c r="AF33" s="118"/>
      <c r="AG33" s="118"/>
    </row>
    <row r="34" spans="1:33" ht="15.75" customHeight="1" thickTop="1" thickBot="1" x14ac:dyDescent="0.3">
      <c r="A34" s="64"/>
      <c r="B34" s="258"/>
      <c r="C34" s="259"/>
      <c r="D34" s="258"/>
      <c r="E34" s="249"/>
      <c r="F34" s="249"/>
      <c r="G34" s="249"/>
      <c r="H34" s="249"/>
      <c r="I34" s="249"/>
      <c r="J34" s="249"/>
      <c r="K34" s="249"/>
      <c r="L34" s="264"/>
      <c r="M34" s="179">
        <v>0</v>
      </c>
      <c r="N34" s="244"/>
      <c r="O34" s="245"/>
      <c r="P34" s="181">
        <v>0</v>
      </c>
      <c r="Q34" s="217">
        <v>0</v>
      </c>
      <c r="R34" s="176"/>
      <c r="S34" s="218">
        <v>0</v>
      </c>
      <c r="T34" s="252"/>
      <c r="U34" s="219">
        <v>0</v>
      </c>
      <c r="V34" s="176"/>
      <c r="W34" s="173">
        <v>0</v>
      </c>
      <c r="X34" s="217">
        <v>0</v>
      </c>
      <c r="Y34" s="176"/>
      <c r="Z34" s="220">
        <v>0</v>
      </c>
      <c r="AA34" s="221">
        <v>0</v>
      </c>
      <c r="AB34" s="221">
        <v>0</v>
      </c>
      <c r="AC34" s="222">
        <v>0</v>
      </c>
      <c r="AD34" s="221">
        <v>0</v>
      </c>
      <c r="AE34" s="223">
        <v>0</v>
      </c>
      <c r="AF34" s="62"/>
      <c r="AG34" s="62"/>
    </row>
    <row r="35" spans="1:33" ht="15.75" customHeight="1" thickTop="1" thickBot="1" x14ac:dyDescent="0.3">
      <c r="A35" s="64"/>
      <c r="B35" s="258"/>
      <c r="C35" s="259"/>
      <c r="D35" s="258"/>
      <c r="E35" s="249"/>
      <c r="F35" s="249"/>
      <c r="G35" s="249"/>
      <c r="H35" s="249"/>
      <c r="I35" s="249"/>
      <c r="J35" s="249"/>
      <c r="K35" s="249"/>
      <c r="L35" s="264"/>
      <c r="M35" s="179">
        <v>0</v>
      </c>
      <c r="N35" s="244"/>
      <c r="O35" s="245"/>
      <c r="P35" s="181">
        <v>0</v>
      </c>
      <c r="Q35" s="217">
        <v>0</v>
      </c>
      <c r="R35" s="176"/>
      <c r="S35" s="218">
        <v>0</v>
      </c>
      <c r="T35" s="252"/>
      <c r="U35" s="219">
        <v>0</v>
      </c>
      <c r="V35" s="176"/>
      <c r="W35" s="173">
        <v>0</v>
      </c>
      <c r="X35" s="217">
        <v>0</v>
      </c>
      <c r="Y35" s="176"/>
      <c r="Z35" s="220">
        <v>0</v>
      </c>
      <c r="AA35" s="221">
        <v>0</v>
      </c>
      <c r="AB35" s="221">
        <v>0</v>
      </c>
      <c r="AC35" s="222">
        <v>0</v>
      </c>
      <c r="AD35" s="221">
        <v>0</v>
      </c>
      <c r="AE35" s="223">
        <v>0</v>
      </c>
      <c r="AF35" s="62"/>
      <c r="AG35" s="62"/>
    </row>
    <row r="36" spans="1:33" ht="15.75" customHeight="1" thickTop="1" thickBot="1" x14ac:dyDescent="0.3">
      <c r="A36" s="64"/>
      <c r="B36" s="258"/>
      <c r="C36" s="259"/>
      <c r="D36" s="258"/>
      <c r="E36" s="249"/>
      <c r="F36" s="249"/>
      <c r="G36" s="249"/>
      <c r="H36" s="249"/>
      <c r="I36" s="249"/>
      <c r="J36" s="249"/>
      <c r="K36" s="249"/>
      <c r="L36" s="264"/>
      <c r="M36" s="179">
        <v>0</v>
      </c>
      <c r="N36" s="244"/>
      <c r="O36" s="245"/>
      <c r="P36" s="181">
        <v>0</v>
      </c>
      <c r="Q36" s="217">
        <v>0</v>
      </c>
      <c r="R36" s="176"/>
      <c r="S36" s="218">
        <v>0</v>
      </c>
      <c r="T36" s="252"/>
      <c r="U36" s="219">
        <v>0</v>
      </c>
      <c r="V36" s="176"/>
      <c r="W36" s="173">
        <v>0</v>
      </c>
      <c r="X36" s="217">
        <v>0</v>
      </c>
      <c r="Y36" s="176"/>
      <c r="Z36" s="220">
        <v>0</v>
      </c>
      <c r="AA36" s="221">
        <v>0</v>
      </c>
      <c r="AB36" s="221">
        <v>0</v>
      </c>
      <c r="AC36" s="222">
        <v>0</v>
      </c>
      <c r="AD36" s="221">
        <v>0</v>
      </c>
      <c r="AE36" s="223">
        <v>0</v>
      </c>
      <c r="AF36" s="62"/>
      <c r="AG36" s="62"/>
    </row>
    <row r="37" spans="1:33" ht="15.75" customHeight="1" thickTop="1" thickBot="1" x14ac:dyDescent="0.3">
      <c r="A37" s="64"/>
      <c r="B37" s="258"/>
      <c r="C37" s="259"/>
      <c r="D37" s="258"/>
      <c r="E37" s="249"/>
      <c r="F37" s="249"/>
      <c r="G37" s="249"/>
      <c r="H37" s="249"/>
      <c r="I37" s="249"/>
      <c r="J37" s="249"/>
      <c r="K37" s="249"/>
      <c r="L37" s="264"/>
      <c r="M37" s="179">
        <v>0</v>
      </c>
      <c r="N37" s="244"/>
      <c r="O37" s="245"/>
      <c r="P37" s="181">
        <v>0</v>
      </c>
      <c r="Q37" s="217">
        <v>0</v>
      </c>
      <c r="R37" s="176"/>
      <c r="S37" s="218">
        <v>0</v>
      </c>
      <c r="T37" s="252"/>
      <c r="U37" s="219">
        <v>0</v>
      </c>
      <c r="V37" s="176"/>
      <c r="W37" s="173">
        <v>0</v>
      </c>
      <c r="X37" s="217">
        <v>0</v>
      </c>
      <c r="Y37" s="176"/>
      <c r="Z37" s="220">
        <v>0</v>
      </c>
      <c r="AA37" s="221">
        <v>0</v>
      </c>
      <c r="AB37" s="221">
        <v>0</v>
      </c>
      <c r="AC37" s="222">
        <v>0</v>
      </c>
      <c r="AD37" s="221">
        <v>0</v>
      </c>
      <c r="AE37" s="223">
        <v>0</v>
      </c>
      <c r="AF37" s="62"/>
      <c r="AG37" s="62"/>
    </row>
    <row r="38" spans="1:33" ht="15.75" customHeight="1" thickTop="1" thickBot="1" x14ac:dyDescent="0.3">
      <c r="A38" s="64"/>
      <c r="B38" s="258"/>
      <c r="C38" s="259"/>
      <c r="D38" s="258"/>
      <c r="E38" s="249"/>
      <c r="F38" s="249"/>
      <c r="G38" s="249"/>
      <c r="H38" s="249"/>
      <c r="I38" s="249"/>
      <c r="J38" s="249"/>
      <c r="K38" s="249"/>
      <c r="L38" s="264"/>
      <c r="M38" s="179">
        <v>0</v>
      </c>
      <c r="N38" s="244"/>
      <c r="O38" s="245"/>
      <c r="P38" s="181">
        <v>0</v>
      </c>
      <c r="Q38" s="217">
        <v>0</v>
      </c>
      <c r="R38" s="176"/>
      <c r="S38" s="218">
        <v>0</v>
      </c>
      <c r="T38" s="252"/>
      <c r="U38" s="219">
        <v>0</v>
      </c>
      <c r="V38" s="176"/>
      <c r="W38" s="173">
        <v>0</v>
      </c>
      <c r="X38" s="217">
        <v>0</v>
      </c>
      <c r="Y38" s="176"/>
      <c r="Z38" s="220">
        <v>0</v>
      </c>
      <c r="AA38" s="221">
        <v>0</v>
      </c>
      <c r="AB38" s="221">
        <v>0</v>
      </c>
      <c r="AC38" s="222">
        <v>0</v>
      </c>
      <c r="AD38" s="221">
        <v>0</v>
      </c>
      <c r="AE38" s="223">
        <v>0</v>
      </c>
      <c r="AF38" s="62"/>
      <c r="AG38" s="62"/>
    </row>
    <row r="39" spans="1:33" ht="15.75" customHeight="1" thickTop="1" thickBot="1" x14ac:dyDescent="0.3">
      <c r="A39" s="64"/>
      <c r="B39" s="258"/>
      <c r="C39" s="259"/>
      <c r="D39" s="258"/>
      <c r="E39" s="249"/>
      <c r="F39" s="249"/>
      <c r="G39" s="249"/>
      <c r="H39" s="249"/>
      <c r="I39" s="249"/>
      <c r="J39" s="249"/>
      <c r="K39" s="249"/>
      <c r="L39" s="264"/>
      <c r="M39" s="179">
        <v>0</v>
      </c>
      <c r="N39" s="244"/>
      <c r="O39" s="245"/>
      <c r="P39" s="181">
        <v>0</v>
      </c>
      <c r="Q39" s="217">
        <v>0</v>
      </c>
      <c r="R39" s="176"/>
      <c r="S39" s="218">
        <v>0</v>
      </c>
      <c r="T39" s="252"/>
      <c r="U39" s="219">
        <v>0</v>
      </c>
      <c r="V39" s="176"/>
      <c r="W39" s="173">
        <v>0</v>
      </c>
      <c r="X39" s="217">
        <v>0</v>
      </c>
      <c r="Y39" s="176"/>
      <c r="Z39" s="220">
        <v>0</v>
      </c>
      <c r="AA39" s="221">
        <v>0</v>
      </c>
      <c r="AB39" s="221">
        <v>0</v>
      </c>
      <c r="AC39" s="222">
        <v>0</v>
      </c>
      <c r="AD39" s="221">
        <v>0</v>
      </c>
      <c r="AE39" s="223">
        <v>0</v>
      </c>
      <c r="AF39" s="62"/>
      <c r="AG39" s="62"/>
    </row>
    <row r="40" spans="1:33" ht="15.75" customHeight="1" thickTop="1" thickBot="1" x14ac:dyDescent="0.3">
      <c r="A40" s="64"/>
      <c r="B40" s="258"/>
      <c r="C40" s="259"/>
      <c r="D40" s="258"/>
      <c r="E40" s="249"/>
      <c r="F40" s="249"/>
      <c r="G40" s="249"/>
      <c r="H40" s="249"/>
      <c r="I40" s="249"/>
      <c r="J40" s="249"/>
      <c r="K40" s="249"/>
      <c r="L40" s="264"/>
      <c r="M40" s="179">
        <v>0</v>
      </c>
      <c r="N40" s="244"/>
      <c r="O40" s="245"/>
      <c r="P40" s="181">
        <v>0</v>
      </c>
      <c r="Q40" s="217">
        <v>0</v>
      </c>
      <c r="R40" s="176"/>
      <c r="S40" s="218">
        <v>0</v>
      </c>
      <c r="T40" s="252"/>
      <c r="U40" s="219">
        <v>0</v>
      </c>
      <c r="V40" s="176"/>
      <c r="W40" s="173">
        <v>0</v>
      </c>
      <c r="X40" s="217">
        <v>0</v>
      </c>
      <c r="Y40" s="176"/>
      <c r="Z40" s="220">
        <v>0</v>
      </c>
      <c r="AA40" s="221">
        <v>0</v>
      </c>
      <c r="AB40" s="221">
        <v>0</v>
      </c>
      <c r="AC40" s="222">
        <v>0</v>
      </c>
      <c r="AD40" s="221">
        <v>0</v>
      </c>
      <c r="AE40" s="223">
        <v>0</v>
      </c>
      <c r="AF40" s="62"/>
      <c r="AG40" s="62"/>
    </row>
    <row r="41" spans="1:33" ht="15.75" customHeight="1" thickTop="1" thickBot="1" x14ac:dyDescent="0.3">
      <c r="A41" s="63"/>
      <c r="B41" s="258"/>
      <c r="C41" s="259"/>
      <c r="D41" s="258"/>
      <c r="E41" s="249"/>
      <c r="F41" s="249"/>
      <c r="G41" s="249"/>
      <c r="H41" s="249"/>
      <c r="I41" s="249"/>
      <c r="J41" s="249"/>
      <c r="K41" s="249"/>
      <c r="L41" s="264"/>
      <c r="M41" s="179">
        <v>0</v>
      </c>
      <c r="N41" s="244"/>
      <c r="O41" s="245"/>
      <c r="P41" s="181">
        <v>0</v>
      </c>
      <c r="Q41" s="217">
        <v>0</v>
      </c>
      <c r="R41" s="176"/>
      <c r="S41" s="218">
        <v>0</v>
      </c>
      <c r="T41" s="252"/>
      <c r="U41" s="219">
        <v>0</v>
      </c>
      <c r="V41" s="176"/>
      <c r="W41" s="174">
        <v>0</v>
      </c>
      <c r="X41" s="217">
        <v>0</v>
      </c>
      <c r="Y41" s="176"/>
      <c r="Z41" s="220">
        <v>0</v>
      </c>
      <c r="AA41" s="221">
        <v>0</v>
      </c>
      <c r="AB41" s="221">
        <v>0</v>
      </c>
      <c r="AC41" s="222">
        <v>0</v>
      </c>
      <c r="AD41" s="221">
        <v>0</v>
      </c>
      <c r="AE41" s="223">
        <v>0</v>
      </c>
      <c r="AF41" s="62"/>
      <c r="AG41" s="62"/>
    </row>
    <row r="42" spans="1:33" ht="15.75" customHeight="1" thickTop="1" thickBot="1" x14ac:dyDescent="0.3">
      <c r="A42" s="63"/>
      <c r="B42" s="258"/>
      <c r="C42" s="259"/>
      <c r="D42" s="258"/>
      <c r="E42" s="249"/>
      <c r="F42" s="249"/>
      <c r="G42" s="249"/>
      <c r="H42" s="249"/>
      <c r="I42" s="249"/>
      <c r="J42" s="249"/>
      <c r="K42" s="249"/>
      <c r="L42" s="264"/>
      <c r="M42" s="180">
        <v>0</v>
      </c>
      <c r="N42" s="244"/>
      <c r="O42" s="245"/>
      <c r="P42" s="181">
        <v>0</v>
      </c>
      <c r="Q42" s="217">
        <v>0</v>
      </c>
      <c r="R42" s="176"/>
      <c r="S42" s="218">
        <v>0</v>
      </c>
      <c r="T42" s="252"/>
      <c r="U42" s="219">
        <v>0</v>
      </c>
      <c r="V42" s="176"/>
      <c r="W42" s="174">
        <v>0</v>
      </c>
      <c r="X42" s="217">
        <v>0</v>
      </c>
      <c r="Y42" s="176"/>
      <c r="Z42" s="220">
        <v>0</v>
      </c>
      <c r="AA42" s="221">
        <v>0</v>
      </c>
      <c r="AB42" s="221">
        <v>0</v>
      </c>
      <c r="AC42" s="222">
        <v>0</v>
      </c>
      <c r="AD42" s="221">
        <v>0</v>
      </c>
      <c r="AE42" s="223">
        <v>0</v>
      </c>
      <c r="AF42" s="62"/>
      <c r="AG42" s="62"/>
    </row>
    <row r="43" spans="1:33" ht="15.75" customHeight="1" thickTop="1" thickBot="1" x14ac:dyDescent="0.3">
      <c r="A43" s="63"/>
      <c r="B43" s="258"/>
      <c r="C43" s="259"/>
      <c r="D43" s="258"/>
      <c r="E43" s="249"/>
      <c r="F43" s="249"/>
      <c r="G43" s="249"/>
      <c r="H43" s="249"/>
      <c r="I43" s="249"/>
      <c r="J43" s="249"/>
      <c r="K43" s="249"/>
      <c r="L43" s="264"/>
      <c r="M43" s="180">
        <v>0</v>
      </c>
      <c r="N43" s="244"/>
      <c r="O43" s="245"/>
      <c r="P43" s="181">
        <v>0</v>
      </c>
      <c r="Q43" s="217">
        <v>0</v>
      </c>
      <c r="R43" s="176"/>
      <c r="S43" s="218">
        <v>0</v>
      </c>
      <c r="T43" s="252"/>
      <c r="U43" s="219">
        <v>0</v>
      </c>
      <c r="V43" s="176"/>
      <c r="W43" s="174">
        <v>0</v>
      </c>
      <c r="X43" s="217">
        <v>0</v>
      </c>
      <c r="Y43" s="176"/>
      <c r="Z43" s="220">
        <v>0</v>
      </c>
      <c r="AA43" s="221">
        <v>0</v>
      </c>
      <c r="AB43" s="221">
        <v>0</v>
      </c>
      <c r="AC43" s="222">
        <v>0</v>
      </c>
      <c r="AD43" s="221">
        <v>0</v>
      </c>
      <c r="AE43" s="223">
        <v>0</v>
      </c>
      <c r="AF43" s="62"/>
      <c r="AG43" s="62"/>
    </row>
    <row r="44" spans="1:33" ht="15.75" customHeight="1" thickTop="1" thickBot="1" x14ac:dyDescent="0.3">
      <c r="A44" s="63"/>
      <c r="B44" s="258"/>
      <c r="C44" s="259"/>
      <c r="D44" s="258"/>
      <c r="E44" s="249"/>
      <c r="F44" s="249"/>
      <c r="G44" s="249"/>
      <c r="H44" s="249"/>
      <c r="I44" s="249"/>
      <c r="J44" s="249"/>
      <c r="K44" s="249"/>
      <c r="L44" s="264"/>
      <c r="M44" s="180">
        <v>0</v>
      </c>
      <c r="N44" s="244"/>
      <c r="O44" s="245"/>
      <c r="P44" s="181">
        <v>0</v>
      </c>
      <c r="Q44" s="217">
        <v>0</v>
      </c>
      <c r="R44" s="176"/>
      <c r="S44" s="218">
        <v>0</v>
      </c>
      <c r="T44" s="252"/>
      <c r="U44" s="219">
        <v>0</v>
      </c>
      <c r="V44" s="176"/>
      <c r="W44" s="174">
        <v>0</v>
      </c>
      <c r="X44" s="217">
        <v>0</v>
      </c>
      <c r="Y44" s="176"/>
      <c r="Z44" s="220">
        <v>0</v>
      </c>
      <c r="AA44" s="221">
        <v>0</v>
      </c>
      <c r="AB44" s="221">
        <v>0</v>
      </c>
      <c r="AC44" s="222">
        <v>0</v>
      </c>
      <c r="AD44" s="221">
        <v>0</v>
      </c>
      <c r="AE44" s="223">
        <v>0</v>
      </c>
      <c r="AF44" s="62"/>
      <c r="AG44" s="62"/>
    </row>
    <row r="45" spans="1:33" ht="15.75" customHeight="1" thickTop="1" thickBot="1" x14ac:dyDescent="0.3">
      <c r="A45" s="63"/>
      <c r="B45" s="260"/>
      <c r="C45" s="261"/>
      <c r="D45" s="260"/>
      <c r="E45" s="265"/>
      <c r="F45" s="265"/>
      <c r="G45" s="265"/>
      <c r="H45" s="265"/>
      <c r="I45" s="265"/>
      <c r="J45" s="265"/>
      <c r="K45" s="265"/>
      <c r="L45" s="266"/>
      <c r="M45" s="183">
        <v>0</v>
      </c>
      <c r="N45" s="246"/>
      <c r="O45" s="247"/>
      <c r="P45" s="184">
        <v>0</v>
      </c>
      <c r="Q45" s="224">
        <v>0</v>
      </c>
      <c r="R45" s="176"/>
      <c r="S45" s="234">
        <v>0</v>
      </c>
      <c r="T45" s="253"/>
      <c r="U45" s="235">
        <v>0</v>
      </c>
      <c r="V45" s="176"/>
      <c r="W45" s="226">
        <v>0</v>
      </c>
      <c r="X45" s="224">
        <v>0</v>
      </c>
      <c r="Y45" s="176"/>
      <c r="Z45" s="225">
        <v>0</v>
      </c>
      <c r="AA45" s="227">
        <v>0</v>
      </c>
      <c r="AB45" s="227">
        <v>0</v>
      </c>
      <c r="AC45" s="228">
        <v>0</v>
      </c>
      <c r="AD45" s="227">
        <v>0</v>
      </c>
      <c r="AE45" s="229">
        <v>0</v>
      </c>
      <c r="AF45" s="62"/>
      <c r="AG45" s="62"/>
    </row>
  </sheetData>
  <sheetProtection algorithmName="SHA-512" hashValue="TzMl1xMvCTeVv1PLCz+XArOtGsaFJHkOaFw0HXbC2428cQ86KHOP0nZkJt4mdNfceRT2d9mNTndWRd65Z/Uwig==" saltValue="kDWiGWM8xoNl7mL28Z1mrg==" spinCount="100000" sheet="1" objects="1" scenarios="1" formatCells="0" formatColumns="0" formatRows="0"/>
  <mergeCells count="8">
    <mergeCell ref="S13:U13"/>
    <mergeCell ref="W13:Y13"/>
    <mergeCell ref="Z13:AE13"/>
    <mergeCell ref="I3:J3"/>
    <mergeCell ref="I4:J4"/>
    <mergeCell ref="I5:J5"/>
    <mergeCell ref="I7:J7"/>
    <mergeCell ref="B13:Q13"/>
  </mergeCells>
  <pageMargins left="0.7" right="0.7" top="0.75" bottom="0.75" header="0" footer="0"/>
  <pageSetup orientation="landscape"/>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4125"/>
    <outlinePr summaryBelow="0" summaryRight="0"/>
  </sheetPr>
  <dimension ref="A1:AG45"/>
  <sheetViews>
    <sheetView showGridLines="0" showRowColHeaders="0" zoomScale="90" zoomScaleNormal="90" workbookViewId="0"/>
  </sheetViews>
  <sheetFormatPr defaultColWidth="14.44140625" defaultRowHeight="15" customHeight="1" x14ac:dyDescent="0.25"/>
  <cols>
    <col min="1" max="1" width="5.88671875" customWidth="1"/>
    <col min="2" max="2" width="11.33203125" customWidth="1"/>
    <col min="3" max="3" width="10.88671875" customWidth="1"/>
    <col min="4" max="4" width="9" customWidth="1"/>
    <col min="5" max="5" width="11.33203125" customWidth="1"/>
    <col min="6" max="6" width="10.88671875" customWidth="1"/>
    <col min="7" max="7" width="10.109375" customWidth="1"/>
    <col min="8" max="8" width="11.44140625" customWidth="1"/>
    <col min="9" max="9" width="9.44140625" customWidth="1"/>
    <col min="10" max="12" width="6.33203125" customWidth="1"/>
    <col min="13" max="13" width="13.5546875" customWidth="1"/>
    <col min="14" max="14" width="11.109375" customWidth="1"/>
    <col min="15" max="15" width="12.88671875" customWidth="1"/>
    <col min="16" max="16" width="14.109375" customWidth="1"/>
    <col min="17" max="17" width="12" customWidth="1"/>
    <col min="18" max="18" width="2" customWidth="1"/>
    <col min="19" max="19" width="11.44140625" customWidth="1"/>
    <col min="20" max="20" width="9.33203125" customWidth="1"/>
    <col min="21" max="21" width="12.88671875" customWidth="1"/>
    <col min="22" max="22" width="2" customWidth="1"/>
    <col min="23" max="23" width="13.33203125" customWidth="1"/>
    <col min="24" max="24" width="13.109375" customWidth="1"/>
    <col min="25" max="25" width="2" customWidth="1"/>
  </cols>
  <sheetData>
    <row r="1" spans="1:33" ht="13.2" x14ac:dyDescent="0.25">
      <c r="A1" s="61"/>
      <c r="B1" s="132" t="s">
        <v>49</v>
      </c>
      <c r="C1" s="133"/>
      <c r="D1" s="133"/>
      <c r="E1" s="187"/>
      <c r="F1" s="61"/>
      <c r="G1" s="61"/>
      <c r="H1" s="61"/>
      <c r="I1" s="61"/>
      <c r="J1" s="61"/>
      <c r="K1" s="61"/>
      <c r="L1" s="61"/>
      <c r="M1" s="61"/>
      <c r="N1" s="188"/>
      <c r="O1" s="188"/>
      <c r="P1" s="188"/>
      <c r="Q1" s="61"/>
      <c r="R1" s="61"/>
      <c r="S1" s="61"/>
      <c r="T1" s="61"/>
      <c r="U1" s="62"/>
      <c r="V1" s="61"/>
      <c r="W1" s="62"/>
      <c r="X1" s="62"/>
      <c r="Y1" s="62"/>
      <c r="Z1" s="62"/>
      <c r="AA1" s="62"/>
      <c r="AB1" s="62"/>
      <c r="AC1" s="62"/>
      <c r="AD1" s="62"/>
      <c r="AE1" s="62"/>
      <c r="AF1" s="62"/>
      <c r="AG1" s="62"/>
    </row>
    <row r="2" spans="1:33" ht="13.2" x14ac:dyDescent="0.25">
      <c r="A2" s="63"/>
      <c r="B2" s="132" t="s">
        <v>50</v>
      </c>
      <c r="C2" s="132"/>
      <c r="D2" s="132"/>
      <c r="E2" s="63"/>
      <c r="F2" s="63"/>
      <c r="G2" s="63"/>
      <c r="H2" s="63"/>
      <c r="I2" s="63"/>
      <c r="J2" s="63"/>
      <c r="K2" s="63"/>
      <c r="L2" s="63"/>
      <c r="M2" s="63"/>
      <c r="N2" s="64"/>
      <c r="O2" s="64"/>
      <c r="P2" s="64"/>
      <c r="Q2" s="63"/>
      <c r="R2" s="63"/>
      <c r="S2" s="63"/>
      <c r="T2" s="63"/>
      <c r="U2" s="62"/>
      <c r="V2" s="63"/>
      <c r="W2" s="62"/>
      <c r="X2" s="62"/>
      <c r="Y2" s="62"/>
      <c r="Z2" s="62"/>
      <c r="AA2" s="62"/>
      <c r="AB2" s="62"/>
      <c r="AC2" s="62"/>
      <c r="AD2" s="62"/>
      <c r="AE2" s="62"/>
      <c r="AF2" s="62"/>
      <c r="AG2" s="62"/>
    </row>
    <row r="3" spans="1:33" ht="13.2" x14ac:dyDescent="0.25">
      <c r="A3" s="65"/>
      <c r="B3" s="134"/>
      <c r="C3" s="135" t="s">
        <v>14</v>
      </c>
      <c r="D3" s="136">
        <f>DR</f>
        <v>0.1</v>
      </c>
      <c r="F3" s="137"/>
      <c r="G3" s="138"/>
      <c r="H3" s="16" t="str">
        <f>SP&amp;" Year Undiscounted Costs:"</f>
        <v>10 Year Undiscounted Costs:</v>
      </c>
      <c r="I3" s="300">
        <f>SUM(W16:W45)</f>
        <v>239204.38545784296</v>
      </c>
      <c r="J3" s="301"/>
      <c r="K3" s="62"/>
      <c r="N3" s="189" t="s">
        <v>19</v>
      </c>
      <c r="O3" s="190" t="s">
        <v>32</v>
      </c>
      <c r="P3" s="191" t="s">
        <v>33</v>
      </c>
      <c r="R3" s="62"/>
      <c r="S3" s="62"/>
      <c r="T3" s="62"/>
      <c r="U3" s="62"/>
      <c r="V3" s="62"/>
      <c r="W3" s="62"/>
      <c r="X3" s="62"/>
      <c r="Y3" s="62"/>
      <c r="Z3" s="62"/>
      <c r="AA3" s="62"/>
      <c r="AB3" s="62"/>
      <c r="AC3" s="62"/>
      <c r="AD3" s="62"/>
      <c r="AE3" s="62"/>
      <c r="AF3" s="62"/>
      <c r="AG3" s="62"/>
    </row>
    <row r="4" spans="1:33" ht="13.2" x14ac:dyDescent="0.25">
      <c r="A4" s="65"/>
      <c r="B4" s="140"/>
      <c r="C4" s="141" t="s">
        <v>16</v>
      </c>
      <c r="D4" s="142">
        <f>Inf</f>
        <v>0.03</v>
      </c>
      <c r="F4" s="143"/>
      <c r="G4" s="144"/>
      <c r="H4" s="141" t="str">
        <f>"NPV Alt 3 "&amp;SP&amp;" Year Total:"</f>
        <v>NPV Alt 3 10 Year Total:</v>
      </c>
      <c r="I4" s="302">
        <f>SUM(X16:X45)</f>
        <v>149694.54172838735</v>
      </c>
      <c r="J4" s="303"/>
      <c r="K4" s="62"/>
      <c r="N4" s="231">
        <f>IFERROR((P8/P9)-1,"-")</f>
        <v>7.3375597630192306</v>
      </c>
      <c r="O4" s="193" cm="1">
        <f t="array" ref="O4">INDEX(A:A,INDEX(_xlfn._xlws.FILTER(ROW(AE16:AE45),AE16:AE45&gt;1),1),1)</f>
        <v>6</v>
      </c>
      <c r="P4" s="194">
        <f>IFERROR(P11/P9,"-")</f>
        <v>8.3375597630192306</v>
      </c>
      <c r="R4" s="62"/>
      <c r="S4" s="62"/>
      <c r="T4" s="62"/>
      <c r="U4" s="62"/>
      <c r="V4" s="62"/>
      <c r="W4" s="62"/>
      <c r="X4" s="62"/>
      <c r="Y4" s="62"/>
      <c r="Z4" s="62"/>
      <c r="AA4" s="62"/>
      <c r="AB4" s="62"/>
      <c r="AC4" s="62"/>
      <c r="AD4" s="62"/>
      <c r="AE4" s="62"/>
      <c r="AF4" s="62"/>
      <c r="AG4" s="62"/>
    </row>
    <row r="5" spans="1:33" ht="13.2" x14ac:dyDescent="0.25">
      <c r="A5" s="65"/>
      <c r="B5" s="140"/>
      <c r="C5" s="141" t="s">
        <v>15</v>
      </c>
      <c r="D5" s="147">
        <f>SP</f>
        <v>10</v>
      </c>
      <c r="F5" s="148"/>
      <c r="G5" s="149"/>
      <c r="H5" s="150" t="s">
        <v>51</v>
      </c>
      <c r="I5" s="304">
        <f t="array" ref="I5">NPV(DR,W16:W45)</f>
        <v>149694.54172838732</v>
      </c>
      <c r="J5" s="305"/>
      <c r="K5" s="62"/>
      <c r="L5" s="62"/>
      <c r="M5" s="62"/>
      <c r="N5" s="62"/>
      <c r="R5" s="62"/>
      <c r="S5" s="62"/>
      <c r="T5" s="62"/>
      <c r="U5" s="62"/>
      <c r="V5" s="62"/>
      <c r="W5" s="62"/>
      <c r="X5" s="62"/>
      <c r="Y5" s="62"/>
      <c r="Z5" s="62"/>
      <c r="AA5" s="62"/>
      <c r="AB5" s="62"/>
      <c r="AC5" s="62"/>
      <c r="AD5" s="62"/>
      <c r="AE5" s="62"/>
      <c r="AF5" s="62"/>
      <c r="AG5" s="62"/>
    </row>
    <row r="6" spans="1:33" ht="13.2" x14ac:dyDescent="0.25">
      <c r="A6" s="65"/>
      <c r="B6" s="151"/>
      <c r="C6" s="150" t="s">
        <v>52</v>
      </c>
      <c r="D6" s="240">
        <v>1</v>
      </c>
      <c r="F6" s="85"/>
      <c r="I6" s="85"/>
      <c r="J6" s="86"/>
      <c r="K6" s="62"/>
      <c r="L6" s="62"/>
      <c r="M6" s="134"/>
      <c r="N6" s="195"/>
      <c r="O6" s="16" t="s">
        <v>78</v>
      </c>
      <c r="P6" s="241">
        <v>0</v>
      </c>
      <c r="R6" s="62"/>
      <c r="S6" s="62"/>
      <c r="T6" s="62"/>
      <c r="U6" s="62"/>
      <c r="V6" s="62"/>
      <c r="W6" s="62"/>
      <c r="X6" s="62"/>
      <c r="Y6" s="62"/>
      <c r="Z6" s="62"/>
      <c r="AA6" s="62"/>
      <c r="AB6" s="62"/>
      <c r="AC6" s="62"/>
      <c r="AD6" s="62"/>
      <c r="AE6" s="62"/>
      <c r="AF6" s="62"/>
      <c r="AG6" s="62"/>
    </row>
    <row r="7" spans="1:33" ht="13.2" x14ac:dyDescent="0.25">
      <c r="A7" s="65"/>
      <c r="B7" s="85"/>
      <c r="C7" s="196"/>
      <c r="D7" s="85"/>
      <c r="E7" s="85"/>
      <c r="F7" s="85"/>
      <c r="G7" s="197"/>
      <c r="H7" s="198" t="s">
        <v>79</v>
      </c>
      <c r="I7" s="307">
        <f t="array" ref="I7">NPV(DR,U16:U45)</f>
        <v>3317.1257487493003</v>
      </c>
      <c r="J7" s="308"/>
      <c r="K7" s="62"/>
      <c r="L7" s="62"/>
      <c r="M7" s="140"/>
      <c r="O7" s="141" t="s">
        <v>80</v>
      </c>
      <c r="P7" s="199">
        <f t="array" ref="P7">INDEX(A16:AE45,MATCH(SP,A16:A45,0),31)</f>
        <v>37350.239052076926</v>
      </c>
      <c r="Q7" s="200" t="s">
        <v>81</v>
      </c>
      <c r="R7" s="62"/>
      <c r="T7" s="62"/>
      <c r="U7" s="62"/>
      <c r="V7" s="62"/>
      <c r="W7" s="62"/>
      <c r="X7" s="62"/>
      <c r="Y7" s="62"/>
      <c r="Z7" s="62"/>
      <c r="AA7" s="62"/>
      <c r="AB7" s="62"/>
      <c r="AC7" s="62"/>
      <c r="AD7" s="62"/>
      <c r="AE7" s="62"/>
      <c r="AF7" s="62"/>
      <c r="AG7" s="62"/>
    </row>
    <row r="8" spans="1:33" ht="13.2" x14ac:dyDescent="0.25">
      <c r="A8" s="65"/>
      <c r="B8" s="85"/>
      <c r="C8" s="85"/>
      <c r="D8" s="85"/>
      <c r="E8" s="85"/>
      <c r="F8" s="85"/>
      <c r="G8" s="85"/>
      <c r="H8" s="85"/>
      <c r="I8" s="85"/>
      <c r="J8" s="86"/>
      <c r="K8" s="62"/>
      <c r="L8" s="62"/>
      <c r="M8" s="140"/>
      <c r="O8" s="141" t="s">
        <v>82</v>
      </c>
      <c r="P8" s="199">
        <f>P7-P6-P9</f>
        <v>33350.239052076926</v>
      </c>
      <c r="Q8" s="200" t="s">
        <v>83</v>
      </c>
      <c r="R8" s="62"/>
      <c r="T8" s="62"/>
      <c r="U8" s="62"/>
      <c r="V8" s="62"/>
      <c r="W8" s="62"/>
      <c r="X8" s="62"/>
      <c r="Y8" s="62"/>
      <c r="Z8" s="62"/>
      <c r="AA8" s="62"/>
      <c r="AB8" s="62"/>
      <c r="AC8" s="62"/>
      <c r="AD8" s="62"/>
      <c r="AE8" s="62"/>
      <c r="AF8" s="62"/>
      <c r="AG8" s="62"/>
    </row>
    <row r="9" spans="1:33" ht="13.2" x14ac:dyDescent="0.25">
      <c r="A9" s="65"/>
      <c r="B9" s="85"/>
      <c r="C9" s="85"/>
      <c r="D9" s="85"/>
      <c r="E9" s="85"/>
      <c r="F9" s="85"/>
      <c r="G9" s="85"/>
      <c r="H9" s="85"/>
      <c r="I9" s="85"/>
      <c r="J9" s="86"/>
      <c r="K9" s="62"/>
      <c r="L9" s="62"/>
      <c r="M9" s="140"/>
      <c r="O9" s="141" t="s">
        <v>84</v>
      </c>
      <c r="P9" s="199">
        <f t="array" ref="P9">INDEX(A16:AE45,MATCH(SP,A16:A45,0),26)*-1</f>
        <v>4000</v>
      </c>
      <c r="Q9" s="200" t="s">
        <v>85</v>
      </c>
      <c r="R9" s="62"/>
      <c r="T9" s="62"/>
      <c r="U9" s="62"/>
      <c r="V9" s="62"/>
      <c r="W9" s="62"/>
      <c r="X9" s="62"/>
      <c r="Y9" s="62"/>
      <c r="Z9" s="62"/>
      <c r="AA9" s="62"/>
      <c r="AB9" s="62"/>
      <c r="AC9" s="62"/>
      <c r="AD9" s="62"/>
      <c r="AE9" s="62"/>
      <c r="AF9" s="62"/>
      <c r="AG9" s="62"/>
    </row>
    <row r="10" spans="1:33" ht="13.2" x14ac:dyDescent="0.25">
      <c r="A10" s="65"/>
      <c r="B10" s="85"/>
      <c r="C10" s="85"/>
      <c r="D10" s="85"/>
      <c r="E10" s="85"/>
      <c r="F10" s="85"/>
      <c r="G10" s="85"/>
      <c r="H10" s="85"/>
      <c r="I10" s="85"/>
      <c r="J10" s="86"/>
      <c r="K10" s="62"/>
      <c r="L10" s="62"/>
      <c r="M10" s="140"/>
      <c r="O10" s="141" t="s">
        <v>86</v>
      </c>
      <c r="P10" s="199">
        <f>D6*P9</f>
        <v>4000</v>
      </c>
      <c r="Q10" s="200" t="s">
        <v>87</v>
      </c>
      <c r="R10" s="62"/>
      <c r="T10" s="62"/>
      <c r="U10" s="62"/>
      <c r="V10" s="62"/>
      <c r="W10" s="62"/>
      <c r="X10" s="62"/>
      <c r="Y10" s="62"/>
      <c r="Z10" s="62"/>
      <c r="AA10" s="62"/>
      <c r="AB10" s="62"/>
      <c r="AC10" s="62"/>
      <c r="AD10" s="62"/>
      <c r="AE10" s="62"/>
      <c r="AF10" s="62"/>
      <c r="AG10" s="62"/>
    </row>
    <row r="11" spans="1:33" ht="13.2" x14ac:dyDescent="0.25">
      <c r="A11" s="65"/>
      <c r="B11" s="85"/>
      <c r="C11" s="85"/>
      <c r="D11" s="85"/>
      <c r="E11" s="85"/>
      <c r="F11" s="85"/>
      <c r="G11" s="85"/>
      <c r="H11" s="85"/>
      <c r="I11" s="85"/>
      <c r="J11" s="85"/>
      <c r="K11" s="85"/>
      <c r="L11" s="85"/>
      <c r="M11" s="201"/>
      <c r="N11" s="202"/>
      <c r="O11" s="150" t="s">
        <v>88</v>
      </c>
      <c r="P11" s="203">
        <f>P8</f>
        <v>33350.239052076926</v>
      </c>
      <c r="Q11" s="200" t="s">
        <v>89</v>
      </c>
      <c r="R11" s="11"/>
      <c r="T11" s="62"/>
      <c r="U11" s="62"/>
      <c r="V11" s="62"/>
      <c r="W11" s="62"/>
      <c r="X11" s="62"/>
      <c r="Y11" s="62"/>
      <c r="Z11" s="62"/>
      <c r="AA11" s="62"/>
      <c r="AB11" s="62"/>
      <c r="AC11" s="62"/>
      <c r="AD11" s="62"/>
      <c r="AE11" s="62"/>
      <c r="AF11" s="62"/>
      <c r="AG11" s="62"/>
    </row>
    <row r="12" spans="1:33" ht="13.2" x14ac:dyDescent="0.25">
      <c r="A12" s="65"/>
      <c r="B12" s="85"/>
      <c r="C12" s="85"/>
      <c r="D12" s="85"/>
      <c r="E12" s="85"/>
      <c r="F12" s="85"/>
      <c r="G12" s="85"/>
      <c r="H12" s="85"/>
      <c r="I12" s="85"/>
      <c r="J12" s="85"/>
      <c r="K12" s="85"/>
      <c r="L12" s="85"/>
      <c r="M12" s="86"/>
      <c r="N12" s="62"/>
      <c r="O12" s="62"/>
      <c r="P12" s="62"/>
      <c r="Q12" s="62"/>
      <c r="R12" s="62"/>
      <c r="S12" s="62"/>
      <c r="T12" s="62"/>
      <c r="U12" s="62"/>
      <c r="V12" s="62"/>
      <c r="W12" s="62"/>
      <c r="X12" s="62"/>
      <c r="Y12" s="62"/>
      <c r="Z12" s="62"/>
      <c r="AA12" s="62"/>
      <c r="AB12" s="62"/>
      <c r="AC12" s="62"/>
      <c r="AD12" s="62"/>
      <c r="AE12" s="62"/>
      <c r="AF12" s="62"/>
      <c r="AG12" s="62"/>
    </row>
    <row r="13" spans="1:33" ht="13.8" x14ac:dyDescent="0.25">
      <c r="A13" s="65"/>
      <c r="B13" s="306" t="s">
        <v>53</v>
      </c>
      <c r="C13" s="277"/>
      <c r="D13" s="277"/>
      <c r="E13" s="277"/>
      <c r="F13" s="277"/>
      <c r="G13" s="277"/>
      <c r="H13" s="277"/>
      <c r="I13" s="277"/>
      <c r="J13" s="277"/>
      <c r="K13" s="277"/>
      <c r="L13" s="277"/>
      <c r="M13" s="277"/>
      <c r="N13" s="277"/>
      <c r="O13" s="277"/>
      <c r="P13" s="277"/>
      <c r="Q13" s="277"/>
      <c r="R13" s="154"/>
      <c r="S13" s="297" t="s">
        <v>54</v>
      </c>
      <c r="T13" s="277"/>
      <c r="U13" s="277"/>
      <c r="V13" s="64"/>
      <c r="W13" s="297" t="s">
        <v>55</v>
      </c>
      <c r="X13" s="277"/>
      <c r="Y13" s="277"/>
      <c r="Z13" s="297" t="s">
        <v>32</v>
      </c>
      <c r="AA13" s="277"/>
      <c r="AB13" s="277"/>
      <c r="AC13" s="277"/>
      <c r="AD13" s="277"/>
      <c r="AE13" s="277"/>
      <c r="AF13" s="62"/>
      <c r="AG13" s="62"/>
    </row>
    <row r="14" spans="1:33" ht="13.2" x14ac:dyDescent="0.25">
      <c r="A14" s="103"/>
      <c r="B14" s="155"/>
      <c r="C14" s="156" t="s">
        <v>56</v>
      </c>
      <c r="D14" s="141"/>
      <c r="E14" s="157"/>
      <c r="F14" s="64"/>
      <c r="G14" s="64"/>
      <c r="H14" s="154"/>
      <c r="I14" s="64"/>
      <c r="J14" s="64"/>
      <c r="K14" s="64"/>
      <c r="L14" s="64"/>
      <c r="M14" s="156" t="s">
        <v>57</v>
      </c>
      <c r="N14" s="64"/>
      <c r="O14" s="64"/>
      <c r="P14" s="103"/>
      <c r="Q14" s="103"/>
      <c r="R14" s="105"/>
      <c r="S14" s="24"/>
      <c r="T14" s="158" t="s">
        <v>90</v>
      </c>
      <c r="U14" s="24"/>
      <c r="V14" s="105"/>
      <c r="W14" s="105"/>
      <c r="X14" s="105"/>
      <c r="Y14" s="105"/>
      <c r="Z14" s="105"/>
      <c r="AA14" s="105"/>
      <c r="AB14" s="204"/>
      <c r="AC14" s="204"/>
      <c r="AD14" s="105"/>
      <c r="AE14" s="105"/>
      <c r="AF14" s="105"/>
      <c r="AG14" s="105"/>
    </row>
    <row r="15" spans="1:33" ht="63.75" customHeight="1" x14ac:dyDescent="0.25">
      <c r="A15" s="159" t="s">
        <v>46</v>
      </c>
      <c r="B15" s="205" t="s">
        <v>59</v>
      </c>
      <c r="C15" s="206" t="s">
        <v>60</v>
      </c>
      <c r="D15" s="207" t="s">
        <v>61</v>
      </c>
      <c r="E15" s="208" t="s">
        <v>62</v>
      </c>
      <c r="F15" s="209" t="s">
        <v>63</v>
      </c>
      <c r="G15" s="209" t="s">
        <v>64</v>
      </c>
      <c r="H15" s="208" t="s">
        <v>65</v>
      </c>
      <c r="I15" s="209" t="s">
        <v>66</v>
      </c>
      <c r="J15" s="208" t="s">
        <v>67</v>
      </c>
      <c r="K15" s="208" t="s">
        <v>67</v>
      </c>
      <c r="L15" s="210" t="s">
        <v>67</v>
      </c>
      <c r="M15" s="211" t="s">
        <v>91</v>
      </c>
      <c r="N15" s="212" t="s">
        <v>69</v>
      </c>
      <c r="O15" s="213" t="s">
        <v>70</v>
      </c>
      <c r="P15" s="214" t="s">
        <v>92</v>
      </c>
      <c r="Q15" s="206" t="s">
        <v>93</v>
      </c>
      <c r="R15" s="169"/>
      <c r="S15" s="215" t="s">
        <v>73</v>
      </c>
      <c r="T15" s="208" t="s">
        <v>74</v>
      </c>
      <c r="U15" s="216" t="s">
        <v>94</v>
      </c>
      <c r="V15" s="169"/>
      <c r="W15" s="215" t="s">
        <v>76</v>
      </c>
      <c r="X15" s="206" t="s">
        <v>95</v>
      </c>
      <c r="Y15" s="172"/>
      <c r="Z15" s="205" t="s">
        <v>96</v>
      </c>
      <c r="AA15" s="208" t="s">
        <v>97</v>
      </c>
      <c r="AB15" s="208" t="s">
        <v>98</v>
      </c>
      <c r="AC15" s="210" t="s">
        <v>99</v>
      </c>
      <c r="AD15" s="208" t="s">
        <v>100</v>
      </c>
      <c r="AE15" s="206" t="s">
        <v>101</v>
      </c>
      <c r="AF15" s="172"/>
      <c r="AG15" s="172"/>
    </row>
    <row r="16" spans="1:33" ht="15.75" customHeight="1" thickBot="1" x14ac:dyDescent="0.3">
      <c r="A16" s="64" cm="1">
        <f t="array" ref="A16:A25">_xlfn.SEQUENCE(SP)</f>
        <v>1</v>
      </c>
      <c r="B16" s="256">
        <v>1000</v>
      </c>
      <c r="C16" s="257">
        <v>0</v>
      </c>
      <c r="D16" s="256">
        <v>20</v>
      </c>
      <c r="E16" s="262">
        <v>5000</v>
      </c>
      <c r="F16" s="262">
        <v>10000</v>
      </c>
      <c r="G16" s="262">
        <v>3000</v>
      </c>
      <c r="H16" s="262">
        <v>1000</v>
      </c>
      <c r="I16" s="262">
        <v>5</v>
      </c>
      <c r="J16" s="262"/>
      <c r="K16" s="262"/>
      <c r="L16" s="263"/>
      <c r="M16" s="179">
        <f t="array" ref="M16:M45">B16:B45+C16:C45+D16:D45+E16:E45+F16:F45+G16:G45+H16:H45+I16:I45+J16:J45+K16:K45+L16:L45</f>
        <v>20025</v>
      </c>
      <c r="N16" s="242">
        <v>100</v>
      </c>
      <c r="O16" s="243">
        <v>5000</v>
      </c>
      <c r="P16" s="181">
        <f t="array" ref="P16:P45">M16:M45+N16:N45+O16:O45</f>
        <v>25125</v>
      </c>
      <c r="Q16" s="217">
        <f t="array" ref="Q16:Q45">P16:P45*((1+Inf)^(A16:A45-1))</f>
        <v>25125</v>
      </c>
      <c r="R16" s="176"/>
      <c r="S16" s="218">
        <f t="array" ref="S16:S45">B16:B45*$D$6</f>
        <v>1000</v>
      </c>
      <c r="T16" s="251">
        <v>1</v>
      </c>
      <c r="U16" s="219">
        <f t="array" ref="U16:U45">(S16:S45+T16:T45)*((1+Inf)^(A16:A45-1))</f>
        <v>1001</v>
      </c>
      <c r="V16" s="176"/>
      <c r="W16" s="173">
        <f t="array" ref="W16:W45">Q16:Q45-U16:U45</f>
        <v>24124</v>
      </c>
      <c r="X16" s="217">
        <f t="array" ref="X16:X45">W16:W45/(1+DR)^A16:A45</f>
        <v>21930.909090909088</v>
      </c>
      <c r="Y16" s="176"/>
      <c r="Z16" s="220">
        <f t="array" ref="Z16:Z45">IF(A16:A45&lt;&gt;"",(MMULT(1*(TRANSPOSE(ROW(B16:C45))&lt;=ROW(B16:C45)),-(B16:B45+C16:C45))),0)</f>
        <v>-1000</v>
      </c>
      <c r="AA16" s="221">
        <f t="array" ref="AA16:AA45">IF(A16:A45&lt;&gt;"",(MMULT(1*(TRANSPOSE(ROW(U16:U45))&lt;=ROW(U16:U45)),U16:U45)),0)</f>
        <v>1001</v>
      </c>
      <c r="AB16" s="221">
        <f t="array" ref="AB16:AB45">IF(A16:A45&lt;&gt;"",(MMULT(1*(TRANSPOSE(ROW(Q16:Q45))&lt;=ROW(Q16:Q45)),Q16-Q16:Q45)),0)</f>
        <v>0</v>
      </c>
      <c r="AC16" s="222">
        <f t="array" ref="AC16:AC45">IF(A16:A45&lt;&gt;"",Z16:Z45+AA16:AA45+AB16:AB45,0)</f>
        <v>1</v>
      </c>
      <c r="AD16" s="221">
        <f t="array" ref="AD16:AD45">IF(A16:A45&lt;&gt;"",'SQ Mgmt'!W12:W41-W16:W45,0)</f>
        <v>0</v>
      </c>
      <c r="AE16" s="223">
        <f t="array" ref="AE16:AE45">IF(A16:A45&lt;&gt;"",(MMULT(1*(TRANSPOSE(ROW(AD16:AD45))&lt;=ROW(AD16:AD45)),AD16:AD45)),0)</f>
        <v>0</v>
      </c>
      <c r="AF16" s="62"/>
      <c r="AG16" s="62"/>
    </row>
    <row r="17" spans="1:33" ht="15.75" customHeight="1" thickTop="1" thickBot="1" x14ac:dyDescent="0.3">
      <c r="A17" s="64">
        <v>2</v>
      </c>
      <c r="B17" s="258">
        <v>1000</v>
      </c>
      <c r="C17" s="259">
        <v>0</v>
      </c>
      <c r="D17" s="258">
        <v>20</v>
      </c>
      <c r="E17" s="249">
        <v>5000</v>
      </c>
      <c r="F17" s="249">
        <v>9000</v>
      </c>
      <c r="G17" s="249">
        <v>5000</v>
      </c>
      <c r="H17" s="249">
        <v>1000</v>
      </c>
      <c r="I17" s="249">
        <v>5</v>
      </c>
      <c r="J17" s="249"/>
      <c r="K17" s="249"/>
      <c r="L17" s="264"/>
      <c r="M17" s="179">
        <v>21025</v>
      </c>
      <c r="N17" s="244">
        <v>100</v>
      </c>
      <c r="O17" s="245">
        <v>5000</v>
      </c>
      <c r="P17" s="181">
        <v>26125</v>
      </c>
      <c r="Q17" s="217">
        <v>26908.75</v>
      </c>
      <c r="R17" s="176"/>
      <c r="S17" s="218">
        <v>1000</v>
      </c>
      <c r="T17" s="252">
        <v>1</v>
      </c>
      <c r="U17" s="219">
        <v>1031.03</v>
      </c>
      <c r="V17" s="176"/>
      <c r="W17" s="173">
        <v>25877.72</v>
      </c>
      <c r="X17" s="217">
        <v>21386.545454545452</v>
      </c>
      <c r="Y17" s="176"/>
      <c r="Z17" s="220">
        <v>-2000</v>
      </c>
      <c r="AA17" s="221">
        <v>2032.03</v>
      </c>
      <c r="AB17" s="221">
        <v>-1783.75</v>
      </c>
      <c r="AC17" s="222">
        <v>-1751.72</v>
      </c>
      <c r="AD17" s="221">
        <v>-1030</v>
      </c>
      <c r="AE17" s="223">
        <v>-1030</v>
      </c>
      <c r="AF17" s="118"/>
      <c r="AG17" s="118"/>
    </row>
    <row r="18" spans="1:33" ht="15.75" customHeight="1" thickTop="1" thickBot="1" x14ac:dyDescent="0.3">
      <c r="A18" s="64">
        <v>3</v>
      </c>
      <c r="B18" s="258">
        <v>1000</v>
      </c>
      <c r="C18" s="259">
        <v>0</v>
      </c>
      <c r="D18" s="258">
        <v>20</v>
      </c>
      <c r="E18" s="249">
        <v>7000</v>
      </c>
      <c r="F18" s="249">
        <v>7000</v>
      </c>
      <c r="G18" s="249">
        <v>6000</v>
      </c>
      <c r="H18" s="249">
        <v>1000</v>
      </c>
      <c r="I18" s="249">
        <v>5</v>
      </c>
      <c r="J18" s="249"/>
      <c r="K18" s="249"/>
      <c r="L18" s="264"/>
      <c r="M18" s="179">
        <v>22025</v>
      </c>
      <c r="N18" s="244">
        <v>100</v>
      </c>
      <c r="O18" s="245">
        <v>5000</v>
      </c>
      <c r="P18" s="181">
        <v>27125</v>
      </c>
      <c r="Q18" s="217">
        <v>28776.912499999999</v>
      </c>
      <c r="R18" s="176"/>
      <c r="S18" s="218">
        <v>1000</v>
      </c>
      <c r="T18" s="252">
        <v>3</v>
      </c>
      <c r="U18" s="219">
        <v>1064.0826999999999</v>
      </c>
      <c r="V18" s="176"/>
      <c r="W18" s="173">
        <v>27712.8298</v>
      </c>
      <c r="X18" s="217">
        <v>20821.059203606303</v>
      </c>
      <c r="Y18" s="176"/>
      <c r="Z18" s="220">
        <v>-3000</v>
      </c>
      <c r="AA18" s="221">
        <v>3096.1126999999997</v>
      </c>
      <c r="AB18" s="221">
        <v>-5435.6624999999985</v>
      </c>
      <c r="AC18" s="222">
        <v>-5339.5497999999989</v>
      </c>
      <c r="AD18" s="221">
        <v>-2119.6782000000021</v>
      </c>
      <c r="AE18" s="223">
        <v>-3149.6782000000021</v>
      </c>
      <c r="AF18" s="118"/>
      <c r="AG18" s="118"/>
    </row>
    <row r="19" spans="1:33" ht="15.75" customHeight="1" thickTop="1" thickBot="1" x14ac:dyDescent="0.3">
      <c r="A19" s="64">
        <v>4</v>
      </c>
      <c r="B19" s="258">
        <v>500</v>
      </c>
      <c r="C19" s="259">
        <v>0</v>
      </c>
      <c r="D19" s="258">
        <v>10</v>
      </c>
      <c r="E19" s="249">
        <v>8000</v>
      </c>
      <c r="F19" s="249">
        <v>6000</v>
      </c>
      <c r="G19" s="249">
        <v>6000</v>
      </c>
      <c r="H19" s="249">
        <v>1000</v>
      </c>
      <c r="I19" s="249">
        <v>5</v>
      </c>
      <c r="J19" s="249"/>
      <c r="K19" s="249"/>
      <c r="L19" s="264"/>
      <c r="M19" s="179">
        <v>21515</v>
      </c>
      <c r="N19" s="244">
        <v>90</v>
      </c>
      <c r="O19" s="245">
        <v>4000</v>
      </c>
      <c r="P19" s="181">
        <v>25605</v>
      </c>
      <c r="Q19" s="217">
        <v>27979.274835</v>
      </c>
      <c r="R19" s="176"/>
      <c r="S19" s="218">
        <v>500</v>
      </c>
      <c r="T19" s="252">
        <v>5</v>
      </c>
      <c r="U19" s="219">
        <v>551.827135</v>
      </c>
      <c r="V19" s="176"/>
      <c r="W19" s="173">
        <v>27427.447700000001</v>
      </c>
      <c r="X19" s="217">
        <v>18733.315825421756</v>
      </c>
      <c r="Y19" s="176"/>
      <c r="Z19" s="220">
        <v>-3500</v>
      </c>
      <c r="AA19" s="221">
        <v>3647.9398349999997</v>
      </c>
      <c r="AB19" s="221">
        <v>-8289.9373349999987</v>
      </c>
      <c r="AC19" s="222">
        <v>-8141.9974999999995</v>
      </c>
      <c r="AD19" s="221">
        <v>-1066.5015520000015</v>
      </c>
      <c r="AE19" s="223">
        <v>-4216.1797520000036</v>
      </c>
      <c r="AF19" s="118"/>
      <c r="AG19" s="118"/>
    </row>
    <row r="20" spans="1:33" ht="15.75" customHeight="1" thickTop="1" thickBot="1" x14ac:dyDescent="0.3">
      <c r="A20" s="64">
        <v>5</v>
      </c>
      <c r="B20" s="258">
        <v>500</v>
      </c>
      <c r="C20" s="259">
        <v>0</v>
      </c>
      <c r="D20" s="258">
        <v>10</v>
      </c>
      <c r="E20" s="249">
        <v>8000</v>
      </c>
      <c r="F20" s="249">
        <v>4000</v>
      </c>
      <c r="G20" s="249">
        <v>6000</v>
      </c>
      <c r="H20" s="249">
        <v>750</v>
      </c>
      <c r="I20" s="249">
        <v>5</v>
      </c>
      <c r="J20" s="249"/>
      <c r="K20" s="249"/>
      <c r="L20" s="264"/>
      <c r="M20" s="179">
        <v>19265</v>
      </c>
      <c r="N20" s="244">
        <v>80</v>
      </c>
      <c r="O20" s="245">
        <v>3500</v>
      </c>
      <c r="P20" s="181">
        <v>22845</v>
      </c>
      <c r="Q20" s="217">
        <v>25712.24876445</v>
      </c>
      <c r="R20" s="176"/>
      <c r="S20" s="218">
        <v>500</v>
      </c>
      <c r="T20" s="252">
        <v>6</v>
      </c>
      <c r="U20" s="219">
        <v>569.50745785999993</v>
      </c>
      <c r="V20" s="176"/>
      <c r="W20" s="173">
        <v>25142.74130659</v>
      </c>
      <c r="X20" s="217">
        <v>15611.664197421929</v>
      </c>
      <c r="Y20" s="176"/>
      <c r="Z20" s="220">
        <v>-4000</v>
      </c>
      <c r="AA20" s="221">
        <v>4217.4472928599998</v>
      </c>
      <c r="AB20" s="221">
        <v>-8877.1860994499984</v>
      </c>
      <c r="AC20" s="222">
        <v>-8659.7388065899977</v>
      </c>
      <c r="AD20" s="221">
        <v>2009.0332258499984</v>
      </c>
      <c r="AE20" s="223">
        <v>-2207.1465261500052</v>
      </c>
      <c r="AF20" s="118"/>
      <c r="AG20" s="118"/>
    </row>
    <row r="21" spans="1:33" ht="15.75" customHeight="1" thickTop="1" thickBot="1" x14ac:dyDescent="0.3">
      <c r="A21" s="64">
        <v>6</v>
      </c>
      <c r="B21" s="258">
        <v>0</v>
      </c>
      <c r="C21" s="259">
        <v>0</v>
      </c>
      <c r="D21" s="258">
        <v>5</v>
      </c>
      <c r="E21" s="249">
        <v>8000</v>
      </c>
      <c r="F21" s="249">
        <v>3000</v>
      </c>
      <c r="G21" s="249">
        <v>5000</v>
      </c>
      <c r="H21" s="249">
        <v>750</v>
      </c>
      <c r="I21" s="249">
        <v>4</v>
      </c>
      <c r="J21" s="249"/>
      <c r="K21" s="249"/>
      <c r="L21" s="264"/>
      <c r="M21" s="179">
        <v>16759</v>
      </c>
      <c r="N21" s="244">
        <v>70</v>
      </c>
      <c r="O21" s="245">
        <v>2500</v>
      </c>
      <c r="P21" s="181">
        <v>19329</v>
      </c>
      <c r="Q21" s="217">
        <v>22407.608582144698</v>
      </c>
      <c r="R21" s="176"/>
      <c r="S21" s="218">
        <v>0</v>
      </c>
      <c r="T21" s="252">
        <v>7</v>
      </c>
      <c r="U21" s="219">
        <v>8.114918520099998</v>
      </c>
      <c r="V21" s="176"/>
      <c r="W21" s="173">
        <v>22399.493663624598</v>
      </c>
      <c r="X21" s="217">
        <v>12643.930219520857</v>
      </c>
      <c r="Y21" s="176"/>
      <c r="Z21" s="220">
        <v>-4000</v>
      </c>
      <c r="AA21" s="221">
        <v>4225.5622113801001</v>
      </c>
      <c r="AB21" s="221">
        <v>-6159.7946815946962</v>
      </c>
      <c r="AC21" s="222">
        <v>-5934.2324702145961</v>
      </c>
      <c r="AD21" s="221">
        <v>5566.8341047885988</v>
      </c>
      <c r="AE21" s="223">
        <v>3359.6875786385935</v>
      </c>
      <c r="AF21" s="118"/>
      <c r="AG21" s="118"/>
    </row>
    <row r="22" spans="1:33" ht="15.75" customHeight="1" thickTop="1" thickBot="1" x14ac:dyDescent="0.3">
      <c r="A22" s="64">
        <v>7</v>
      </c>
      <c r="B22" s="258">
        <v>0</v>
      </c>
      <c r="C22" s="259">
        <v>0</v>
      </c>
      <c r="D22" s="258">
        <v>5</v>
      </c>
      <c r="E22" s="249">
        <v>8000</v>
      </c>
      <c r="F22" s="249">
        <v>3000</v>
      </c>
      <c r="G22" s="249">
        <v>3000</v>
      </c>
      <c r="H22" s="249">
        <v>750</v>
      </c>
      <c r="I22" s="249">
        <v>4</v>
      </c>
      <c r="J22" s="249"/>
      <c r="K22" s="249"/>
      <c r="L22" s="264"/>
      <c r="M22" s="179">
        <v>14759</v>
      </c>
      <c r="N22" s="244">
        <v>70</v>
      </c>
      <c r="O22" s="245">
        <v>2500</v>
      </c>
      <c r="P22" s="181">
        <v>17329</v>
      </c>
      <c r="Q22" s="217">
        <v>20691.732246551041</v>
      </c>
      <c r="R22" s="176"/>
      <c r="S22" s="218">
        <v>0</v>
      </c>
      <c r="T22" s="252">
        <v>8</v>
      </c>
      <c r="U22" s="219">
        <v>9.5524183722319993</v>
      </c>
      <c r="V22" s="176"/>
      <c r="W22" s="173">
        <v>20682.179828178807</v>
      </c>
      <c r="X22" s="217">
        <v>10613.228481537311</v>
      </c>
      <c r="Y22" s="176"/>
      <c r="Z22" s="220">
        <v>-4000</v>
      </c>
      <c r="AA22" s="221">
        <v>4235.1146297523319</v>
      </c>
      <c r="AB22" s="221">
        <v>-1726.5269281457367</v>
      </c>
      <c r="AC22" s="222">
        <v>-1491.4122983934049</v>
      </c>
      <c r="AD22" s="221">
        <v>8123.1377732867841</v>
      </c>
      <c r="AE22" s="223">
        <v>11482.825351925378</v>
      </c>
      <c r="AF22" s="118"/>
      <c r="AG22" s="118"/>
    </row>
    <row r="23" spans="1:33" ht="15.75" customHeight="1" thickTop="1" thickBot="1" x14ac:dyDescent="0.3">
      <c r="A23" s="64">
        <v>8</v>
      </c>
      <c r="B23" s="258">
        <v>0</v>
      </c>
      <c r="C23" s="259">
        <v>0</v>
      </c>
      <c r="D23" s="258">
        <v>5</v>
      </c>
      <c r="E23" s="249">
        <v>8000</v>
      </c>
      <c r="F23" s="249">
        <v>3000</v>
      </c>
      <c r="G23" s="249">
        <v>3000</v>
      </c>
      <c r="H23" s="249">
        <v>750</v>
      </c>
      <c r="I23" s="249">
        <v>4</v>
      </c>
      <c r="J23" s="249"/>
      <c r="K23" s="249"/>
      <c r="L23" s="264"/>
      <c r="M23" s="179">
        <v>14759</v>
      </c>
      <c r="N23" s="244">
        <v>70</v>
      </c>
      <c r="O23" s="245">
        <v>2500</v>
      </c>
      <c r="P23" s="181">
        <v>17329</v>
      </c>
      <c r="Q23" s="217">
        <v>21312.484213947573</v>
      </c>
      <c r="R23" s="176"/>
      <c r="S23" s="218">
        <v>0</v>
      </c>
      <c r="T23" s="252">
        <v>9</v>
      </c>
      <c r="U23" s="219">
        <v>11.068864788823831</v>
      </c>
      <c r="V23" s="176"/>
      <c r="W23" s="173">
        <v>21301.415349158749</v>
      </c>
      <c r="X23" s="217">
        <v>9937.2674692954461</v>
      </c>
      <c r="Y23" s="176"/>
      <c r="Z23" s="220">
        <v>-4000</v>
      </c>
      <c r="AA23" s="221">
        <v>4246.1834945411556</v>
      </c>
      <c r="AB23" s="221">
        <v>2085.9888579066901</v>
      </c>
      <c r="AC23" s="222">
        <v>2332.1723524478457</v>
      </c>
      <c r="AD23" s="221">
        <v>8368.0617803508139</v>
      </c>
      <c r="AE23" s="223">
        <v>19850.887132276192</v>
      </c>
      <c r="AF23" s="118"/>
      <c r="AG23" s="118"/>
    </row>
    <row r="24" spans="1:33" ht="15.75" customHeight="1" thickTop="1" thickBot="1" x14ac:dyDescent="0.3">
      <c r="A24" s="64">
        <v>9</v>
      </c>
      <c r="B24" s="258">
        <v>0</v>
      </c>
      <c r="C24" s="259">
        <v>0</v>
      </c>
      <c r="D24" s="258">
        <v>5</v>
      </c>
      <c r="E24" s="249">
        <v>8000</v>
      </c>
      <c r="F24" s="249">
        <v>3000</v>
      </c>
      <c r="G24" s="249">
        <v>3000</v>
      </c>
      <c r="H24" s="249">
        <v>750</v>
      </c>
      <c r="I24" s="249">
        <v>4</v>
      </c>
      <c r="J24" s="249"/>
      <c r="K24" s="249"/>
      <c r="L24" s="264"/>
      <c r="M24" s="179">
        <v>14759</v>
      </c>
      <c r="N24" s="244">
        <v>70</v>
      </c>
      <c r="O24" s="245">
        <v>2500</v>
      </c>
      <c r="P24" s="181">
        <v>17329</v>
      </c>
      <c r="Q24" s="217">
        <v>21951.858740365995</v>
      </c>
      <c r="R24" s="176"/>
      <c r="S24" s="218">
        <v>0</v>
      </c>
      <c r="T24" s="252">
        <v>10</v>
      </c>
      <c r="U24" s="219">
        <v>12.667700813876159</v>
      </c>
      <c r="V24" s="176"/>
      <c r="W24" s="173">
        <v>21939.191039552119</v>
      </c>
      <c r="X24" s="217">
        <v>9304.35866889301</v>
      </c>
      <c r="Y24" s="176"/>
      <c r="Z24" s="220">
        <v>-4000</v>
      </c>
      <c r="AA24" s="221">
        <v>4258.8511953550315</v>
      </c>
      <c r="AB24" s="221">
        <v>5259.1301175406952</v>
      </c>
      <c r="AC24" s="222">
        <v>5517.9813128957267</v>
      </c>
      <c r="AD24" s="221">
        <v>8620.3704038427277</v>
      </c>
      <c r="AE24" s="223">
        <v>28471.257536118919</v>
      </c>
      <c r="AF24" s="118"/>
      <c r="AG24" s="118"/>
    </row>
    <row r="25" spans="1:33" ht="15.75" customHeight="1" thickTop="1" thickBot="1" x14ac:dyDescent="0.3">
      <c r="A25" s="64">
        <v>10</v>
      </c>
      <c r="B25" s="258">
        <v>0</v>
      </c>
      <c r="C25" s="259">
        <v>0</v>
      </c>
      <c r="D25" s="258">
        <v>5</v>
      </c>
      <c r="E25" s="249">
        <v>8000</v>
      </c>
      <c r="F25" s="249">
        <v>3000</v>
      </c>
      <c r="G25" s="249">
        <v>3000</v>
      </c>
      <c r="H25" s="249">
        <v>750</v>
      </c>
      <c r="I25" s="249">
        <v>4</v>
      </c>
      <c r="J25" s="249"/>
      <c r="K25" s="249"/>
      <c r="L25" s="264"/>
      <c r="M25" s="179">
        <v>14759</v>
      </c>
      <c r="N25" s="244">
        <v>70</v>
      </c>
      <c r="O25" s="245">
        <v>2500</v>
      </c>
      <c r="P25" s="181">
        <v>17329</v>
      </c>
      <c r="Q25" s="217">
        <v>22610.414502576976</v>
      </c>
      <c r="R25" s="176"/>
      <c r="S25" s="218">
        <v>0</v>
      </c>
      <c r="T25" s="252">
        <v>10</v>
      </c>
      <c r="U25" s="219">
        <v>13.047731838292444</v>
      </c>
      <c r="V25" s="176"/>
      <c r="W25" s="173">
        <v>22597.366770738685</v>
      </c>
      <c r="X25" s="217">
        <v>8712.2631172361816</v>
      </c>
      <c r="Y25" s="176"/>
      <c r="Z25" s="220">
        <v>-4000</v>
      </c>
      <c r="AA25" s="221">
        <v>4271.8989271933242</v>
      </c>
      <c r="AB25" s="221">
        <v>7773.7156149637194</v>
      </c>
      <c r="AC25" s="222">
        <v>8045.6145421570436</v>
      </c>
      <c r="AD25" s="221">
        <v>8878.9815159580066</v>
      </c>
      <c r="AE25" s="223">
        <v>37350.239052076926</v>
      </c>
      <c r="AF25" s="118"/>
      <c r="AG25" s="118"/>
    </row>
    <row r="26" spans="1:33" ht="15.75" customHeight="1" thickTop="1" thickBot="1" x14ac:dyDescent="0.3">
      <c r="A26" s="64"/>
      <c r="B26" s="258"/>
      <c r="C26" s="259"/>
      <c r="D26" s="258"/>
      <c r="E26" s="249"/>
      <c r="F26" s="249"/>
      <c r="G26" s="249"/>
      <c r="H26" s="249"/>
      <c r="I26" s="249"/>
      <c r="J26" s="249"/>
      <c r="K26" s="249"/>
      <c r="L26" s="264"/>
      <c r="M26" s="179">
        <v>0</v>
      </c>
      <c r="N26" s="244"/>
      <c r="O26" s="245"/>
      <c r="P26" s="181">
        <v>0</v>
      </c>
      <c r="Q26" s="217">
        <v>0</v>
      </c>
      <c r="R26" s="176"/>
      <c r="S26" s="218">
        <v>0</v>
      </c>
      <c r="T26" s="252"/>
      <c r="U26" s="219">
        <v>0</v>
      </c>
      <c r="V26" s="176"/>
      <c r="W26" s="173">
        <v>0</v>
      </c>
      <c r="X26" s="217">
        <v>0</v>
      </c>
      <c r="Y26" s="176"/>
      <c r="Z26" s="220">
        <v>0</v>
      </c>
      <c r="AA26" s="221">
        <v>0</v>
      </c>
      <c r="AB26" s="221">
        <v>0</v>
      </c>
      <c r="AC26" s="222">
        <v>0</v>
      </c>
      <c r="AD26" s="221">
        <v>0</v>
      </c>
      <c r="AE26" s="223">
        <v>0</v>
      </c>
      <c r="AF26" s="118"/>
      <c r="AG26" s="118"/>
    </row>
    <row r="27" spans="1:33" ht="15.75" customHeight="1" thickTop="1" thickBot="1" x14ac:dyDescent="0.3">
      <c r="A27" s="64"/>
      <c r="B27" s="258"/>
      <c r="C27" s="259"/>
      <c r="D27" s="258"/>
      <c r="E27" s="249"/>
      <c r="F27" s="249"/>
      <c r="G27" s="249"/>
      <c r="H27" s="249"/>
      <c r="I27" s="249"/>
      <c r="J27" s="249"/>
      <c r="K27" s="249"/>
      <c r="L27" s="264"/>
      <c r="M27" s="179">
        <v>0</v>
      </c>
      <c r="N27" s="244"/>
      <c r="O27" s="245"/>
      <c r="P27" s="181">
        <v>0</v>
      </c>
      <c r="Q27" s="217">
        <v>0</v>
      </c>
      <c r="R27" s="176"/>
      <c r="S27" s="218">
        <v>0</v>
      </c>
      <c r="T27" s="252"/>
      <c r="U27" s="219">
        <v>0</v>
      </c>
      <c r="V27" s="176"/>
      <c r="W27" s="173">
        <v>0</v>
      </c>
      <c r="X27" s="217">
        <v>0</v>
      </c>
      <c r="Y27" s="176"/>
      <c r="Z27" s="220">
        <v>0</v>
      </c>
      <c r="AA27" s="221">
        <v>0</v>
      </c>
      <c r="AB27" s="221">
        <v>0</v>
      </c>
      <c r="AC27" s="222">
        <v>0</v>
      </c>
      <c r="AD27" s="221">
        <v>0</v>
      </c>
      <c r="AE27" s="223">
        <v>0</v>
      </c>
      <c r="AF27" s="62"/>
      <c r="AG27" s="62"/>
    </row>
    <row r="28" spans="1:33" ht="15.75" customHeight="1" thickTop="1" thickBot="1" x14ac:dyDescent="0.3">
      <c r="A28" s="64"/>
      <c r="B28" s="258"/>
      <c r="C28" s="259"/>
      <c r="D28" s="258"/>
      <c r="E28" s="249"/>
      <c r="F28" s="249"/>
      <c r="G28" s="249"/>
      <c r="H28" s="249"/>
      <c r="I28" s="249"/>
      <c r="J28" s="249"/>
      <c r="K28" s="249"/>
      <c r="L28" s="264"/>
      <c r="M28" s="179">
        <v>0</v>
      </c>
      <c r="N28" s="244"/>
      <c r="O28" s="245"/>
      <c r="P28" s="181">
        <v>0</v>
      </c>
      <c r="Q28" s="217">
        <v>0</v>
      </c>
      <c r="R28" s="176"/>
      <c r="S28" s="218">
        <v>0</v>
      </c>
      <c r="T28" s="252"/>
      <c r="U28" s="219">
        <v>0</v>
      </c>
      <c r="V28" s="176"/>
      <c r="W28" s="173">
        <v>0</v>
      </c>
      <c r="X28" s="217">
        <v>0</v>
      </c>
      <c r="Y28" s="176"/>
      <c r="Z28" s="220">
        <v>0</v>
      </c>
      <c r="AA28" s="221">
        <v>0</v>
      </c>
      <c r="AB28" s="221">
        <v>0</v>
      </c>
      <c r="AC28" s="222">
        <v>0</v>
      </c>
      <c r="AD28" s="221">
        <v>0</v>
      </c>
      <c r="AE28" s="223">
        <v>0</v>
      </c>
      <c r="AF28" s="118"/>
      <c r="AG28" s="118"/>
    </row>
    <row r="29" spans="1:33" ht="15.75" customHeight="1" thickTop="1" thickBot="1" x14ac:dyDescent="0.3">
      <c r="A29" s="64"/>
      <c r="B29" s="258"/>
      <c r="C29" s="259"/>
      <c r="D29" s="258"/>
      <c r="E29" s="249"/>
      <c r="F29" s="249"/>
      <c r="G29" s="249"/>
      <c r="H29" s="249"/>
      <c r="I29" s="249"/>
      <c r="J29" s="249"/>
      <c r="K29" s="249"/>
      <c r="L29" s="264"/>
      <c r="M29" s="179">
        <v>0</v>
      </c>
      <c r="N29" s="244"/>
      <c r="O29" s="245"/>
      <c r="P29" s="181">
        <v>0</v>
      </c>
      <c r="Q29" s="217">
        <v>0</v>
      </c>
      <c r="R29" s="176"/>
      <c r="S29" s="218">
        <v>0</v>
      </c>
      <c r="T29" s="252"/>
      <c r="U29" s="219">
        <v>0</v>
      </c>
      <c r="V29" s="176"/>
      <c r="W29" s="173">
        <v>0</v>
      </c>
      <c r="X29" s="217">
        <v>0</v>
      </c>
      <c r="Y29" s="176"/>
      <c r="Z29" s="220">
        <v>0</v>
      </c>
      <c r="AA29" s="221">
        <v>0</v>
      </c>
      <c r="AB29" s="221">
        <v>0</v>
      </c>
      <c r="AC29" s="222">
        <v>0</v>
      </c>
      <c r="AD29" s="221">
        <v>0</v>
      </c>
      <c r="AE29" s="223">
        <v>0</v>
      </c>
      <c r="AF29" s="118"/>
      <c r="AG29" s="118"/>
    </row>
    <row r="30" spans="1:33" ht="15.75" customHeight="1" thickTop="1" thickBot="1" x14ac:dyDescent="0.3">
      <c r="A30" s="64"/>
      <c r="B30" s="258"/>
      <c r="C30" s="259"/>
      <c r="D30" s="258"/>
      <c r="E30" s="249"/>
      <c r="F30" s="249"/>
      <c r="G30" s="249"/>
      <c r="H30" s="249"/>
      <c r="I30" s="249"/>
      <c r="J30" s="249"/>
      <c r="K30" s="249"/>
      <c r="L30" s="264"/>
      <c r="M30" s="179">
        <v>0</v>
      </c>
      <c r="N30" s="244"/>
      <c r="O30" s="245"/>
      <c r="P30" s="181">
        <v>0</v>
      </c>
      <c r="Q30" s="217">
        <v>0</v>
      </c>
      <c r="R30" s="176"/>
      <c r="S30" s="218">
        <v>0</v>
      </c>
      <c r="T30" s="252"/>
      <c r="U30" s="219">
        <v>0</v>
      </c>
      <c r="V30" s="176"/>
      <c r="W30" s="173">
        <v>0</v>
      </c>
      <c r="X30" s="217">
        <v>0</v>
      </c>
      <c r="Y30" s="176"/>
      <c r="Z30" s="220">
        <v>0</v>
      </c>
      <c r="AA30" s="221">
        <v>0</v>
      </c>
      <c r="AB30" s="221">
        <v>0</v>
      </c>
      <c r="AC30" s="222">
        <v>0</v>
      </c>
      <c r="AD30" s="221">
        <v>0</v>
      </c>
      <c r="AE30" s="223">
        <v>0</v>
      </c>
      <c r="AF30" s="118"/>
      <c r="AG30" s="118"/>
    </row>
    <row r="31" spans="1:33" ht="15.75" customHeight="1" thickTop="1" thickBot="1" x14ac:dyDescent="0.3">
      <c r="A31" s="64"/>
      <c r="B31" s="258"/>
      <c r="C31" s="259"/>
      <c r="D31" s="258"/>
      <c r="E31" s="249"/>
      <c r="F31" s="249"/>
      <c r="G31" s="249"/>
      <c r="H31" s="249"/>
      <c r="I31" s="249"/>
      <c r="J31" s="249"/>
      <c r="K31" s="249"/>
      <c r="L31" s="264"/>
      <c r="M31" s="179">
        <v>0</v>
      </c>
      <c r="N31" s="244"/>
      <c r="O31" s="245"/>
      <c r="P31" s="181">
        <v>0</v>
      </c>
      <c r="Q31" s="217">
        <v>0</v>
      </c>
      <c r="R31" s="176"/>
      <c r="S31" s="218">
        <v>0</v>
      </c>
      <c r="T31" s="252"/>
      <c r="U31" s="219">
        <v>0</v>
      </c>
      <c r="V31" s="176"/>
      <c r="W31" s="173">
        <v>0</v>
      </c>
      <c r="X31" s="217">
        <v>0</v>
      </c>
      <c r="Y31" s="176"/>
      <c r="Z31" s="220">
        <v>0</v>
      </c>
      <c r="AA31" s="221">
        <v>0</v>
      </c>
      <c r="AB31" s="221">
        <v>0</v>
      </c>
      <c r="AC31" s="222">
        <v>0</v>
      </c>
      <c r="AD31" s="221">
        <v>0</v>
      </c>
      <c r="AE31" s="223">
        <v>0</v>
      </c>
      <c r="AF31" s="62"/>
      <c r="AG31" s="62"/>
    </row>
    <row r="32" spans="1:33" ht="15.75" customHeight="1" thickTop="1" thickBot="1" x14ac:dyDescent="0.3">
      <c r="A32" s="64"/>
      <c r="B32" s="258"/>
      <c r="C32" s="259"/>
      <c r="D32" s="258"/>
      <c r="E32" s="249"/>
      <c r="F32" s="249"/>
      <c r="G32" s="249"/>
      <c r="H32" s="249"/>
      <c r="I32" s="249"/>
      <c r="J32" s="249"/>
      <c r="K32" s="249"/>
      <c r="L32" s="264"/>
      <c r="M32" s="179">
        <v>0</v>
      </c>
      <c r="N32" s="244"/>
      <c r="O32" s="245"/>
      <c r="P32" s="181">
        <v>0</v>
      </c>
      <c r="Q32" s="217">
        <v>0</v>
      </c>
      <c r="R32" s="176"/>
      <c r="S32" s="218">
        <v>0</v>
      </c>
      <c r="T32" s="252"/>
      <c r="U32" s="219">
        <v>0</v>
      </c>
      <c r="V32" s="176"/>
      <c r="W32" s="173">
        <v>0</v>
      </c>
      <c r="X32" s="217">
        <v>0</v>
      </c>
      <c r="Y32" s="176"/>
      <c r="Z32" s="220">
        <v>0</v>
      </c>
      <c r="AA32" s="221">
        <v>0</v>
      </c>
      <c r="AB32" s="221">
        <v>0</v>
      </c>
      <c r="AC32" s="222">
        <v>0</v>
      </c>
      <c r="AD32" s="221">
        <v>0</v>
      </c>
      <c r="AE32" s="223">
        <v>0</v>
      </c>
      <c r="AF32" s="85"/>
      <c r="AG32" s="85"/>
    </row>
    <row r="33" spans="1:33" ht="15.75" customHeight="1" thickTop="1" thickBot="1" x14ac:dyDescent="0.3">
      <c r="A33" s="64"/>
      <c r="B33" s="258"/>
      <c r="C33" s="259"/>
      <c r="D33" s="258"/>
      <c r="E33" s="249"/>
      <c r="F33" s="249"/>
      <c r="G33" s="249"/>
      <c r="H33" s="249"/>
      <c r="I33" s="249"/>
      <c r="J33" s="249"/>
      <c r="K33" s="249"/>
      <c r="L33" s="264"/>
      <c r="M33" s="179">
        <v>0</v>
      </c>
      <c r="N33" s="244"/>
      <c r="O33" s="245"/>
      <c r="P33" s="181">
        <v>0</v>
      </c>
      <c r="Q33" s="217">
        <v>0</v>
      </c>
      <c r="R33" s="176"/>
      <c r="S33" s="218">
        <v>0</v>
      </c>
      <c r="T33" s="252"/>
      <c r="U33" s="219">
        <v>0</v>
      </c>
      <c r="V33" s="176"/>
      <c r="W33" s="173">
        <v>0</v>
      </c>
      <c r="X33" s="217">
        <v>0</v>
      </c>
      <c r="Y33" s="176"/>
      <c r="Z33" s="220">
        <v>0</v>
      </c>
      <c r="AA33" s="221">
        <v>0</v>
      </c>
      <c r="AB33" s="221">
        <v>0</v>
      </c>
      <c r="AC33" s="222">
        <v>0</v>
      </c>
      <c r="AD33" s="221">
        <v>0</v>
      </c>
      <c r="AE33" s="223">
        <v>0</v>
      </c>
      <c r="AF33" s="118"/>
      <c r="AG33" s="118"/>
    </row>
    <row r="34" spans="1:33" ht="15.75" customHeight="1" thickTop="1" thickBot="1" x14ac:dyDescent="0.3">
      <c r="A34" s="64"/>
      <c r="B34" s="258"/>
      <c r="C34" s="259"/>
      <c r="D34" s="258"/>
      <c r="E34" s="249"/>
      <c r="F34" s="249"/>
      <c r="G34" s="249"/>
      <c r="H34" s="249"/>
      <c r="I34" s="249"/>
      <c r="J34" s="249"/>
      <c r="K34" s="249"/>
      <c r="L34" s="264"/>
      <c r="M34" s="179">
        <v>0</v>
      </c>
      <c r="N34" s="244"/>
      <c r="O34" s="245"/>
      <c r="P34" s="181">
        <v>0</v>
      </c>
      <c r="Q34" s="217">
        <v>0</v>
      </c>
      <c r="R34" s="176"/>
      <c r="S34" s="218">
        <v>0</v>
      </c>
      <c r="T34" s="252"/>
      <c r="U34" s="219">
        <v>0</v>
      </c>
      <c r="V34" s="176"/>
      <c r="W34" s="173">
        <v>0</v>
      </c>
      <c r="X34" s="217">
        <v>0</v>
      </c>
      <c r="Y34" s="176"/>
      <c r="Z34" s="220">
        <v>0</v>
      </c>
      <c r="AA34" s="221">
        <v>0</v>
      </c>
      <c r="AB34" s="221">
        <v>0</v>
      </c>
      <c r="AC34" s="222">
        <v>0</v>
      </c>
      <c r="AD34" s="221">
        <v>0</v>
      </c>
      <c r="AE34" s="223">
        <v>0</v>
      </c>
      <c r="AF34" s="62"/>
      <c r="AG34" s="62"/>
    </row>
    <row r="35" spans="1:33" ht="15.75" customHeight="1" thickTop="1" thickBot="1" x14ac:dyDescent="0.3">
      <c r="A35" s="64"/>
      <c r="B35" s="258"/>
      <c r="C35" s="259"/>
      <c r="D35" s="258"/>
      <c r="E35" s="249"/>
      <c r="F35" s="249"/>
      <c r="G35" s="249"/>
      <c r="H35" s="249"/>
      <c r="I35" s="249"/>
      <c r="J35" s="249"/>
      <c r="K35" s="249"/>
      <c r="L35" s="264"/>
      <c r="M35" s="179">
        <v>0</v>
      </c>
      <c r="N35" s="244"/>
      <c r="O35" s="245"/>
      <c r="P35" s="181">
        <v>0</v>
      </c>
      <c r="Q35" s="217">
        <v>0</v>
      </c>
      <c r="R35" s="176"/>
      <c r="S35" s="218">
        <v>0</v>
      </c>
      <c r="T35" s="252"/>
      <c r="U35" s="219">
        <v>0</v>
      </c>
      <c r="V35" s="176"/>
      <c r="W35" s="173">
        <v>0</v>
      </c>
      <c r="X35" s="217">
        <v>0</v>
      </c>
      <c r="Y35" s="176"/>
      <c r="Z35" s="220">
        <v>0</v>
      </c>
      <c r="AA35" s="221">
        <v>0</v>
      </c>
      <c r="AB35" s="221">
        <v>0</v>
      </c>
      <c r="AC35" s="222">
        <v>0</v>
      </c>
      <c r="AD35" s="221">
        <v>0</v>
      </c>
      <c r="AE35" s="223">
        <v>0</v>
      </c>
      <c r="AF35" s="62"/>
      <c r="AG35" s="62"/>
    </row>
    <row r="36" spans="1:33" ht="15.75" customHeight="1" thickTop="1" thickBot="1" x14ac:dyDescent="0.3">
      <c r="A36" s="64"/>
      <c r="B36" s="258"/>
      <c r="C36" s="259"/>
      <c r="D36" s="258"/>
      <c r="E36" s="249"/>
      <c r="F36" s="249"/>
      <c r="G36" s="249"/>
      <c r="H36" s="249"/>
      <c r="I36" s="249"/>
      <c r="J36" s="249"/>
      <c r="K36" s="249"/>
      <c r="L36" s="264"/>
      <c r="M36" s="179">
        <v>0</v>
      </c>
      <c r="N36" s="244"/>
      <c r="O36" s="245"/>
      <c r="P36" s="181">
        <v>0</v>
      </c>
      <c r="Q36" s="217">
        <v>0</v>
      </c>
      <c r="R36" s="176"/>
      <c r="S36" s="218">
        <v>0</v>
      </c>
      <c r="T36" s="252"/>
      <c r="U36" s="219">
        <v>0</v>
      </c>
      <c r="V36" s="176"/>
      <c r="W36" s="173">
        <v>0</v>
      </c>
      <c r="X36" s="217">
        <v>0</v>
      </c>
      <c r="Y36" s="176"/>
      <c r="Z36" s="220">
        <v>0</v>
      </c>
      <c r="AA36" s="221">
        <v>0</v>
      </c>
      <c r="AB36" s="221">
        <v>0</v>
      </c>
      <c r="AC36" s="222">
        <v>0</v>
      </c>
      <c r="AD36" s="221">
        <v>0</v>
      </c>
      <c r="AE36" s="223">
        <v>0</v>
      </c>
      <c r="AF36" s="62"/>
      <c r="AG36" s="62"/>
    </row>
    <row r="37" spans="1:33" ht="15.75" customHeight="1" thickTop="1" thickBot="1" x14ac:dyDescent="0.3">
      <c r="A37" s="64"/>
      <c r="B37" s="258"/>
      <c r="C37" s="259"/>
      <c r="D37" s="258"/>
      <c r="E37" s="249"/>
      <c r="F37" s="249"/>
      <c r="G37" s="249"/>
      <c r="H37" s="249"/>
      <c r="I37" s="249"/>
      <c r="J37" s="249"/>
      <c r="K37" s="249"/>
      <c r="L37" s="264"/>
      <c r="M37" s="179">
        <v>0</v>
      </c>
      <c r="N37" s="244"/>
      <c r="O37" s="245"/>
      <c r="P37" s="181">
        <v>0</v>
      </c>
      <c r="Q37" s="217">
        <v>0</v>
      </c>
      <c r="R37" s="176"/>
      <c r="S37" s="218">
        <v>0</v>
      </c>
      <c r="T37" s="252"/>
      <c r="U37" s="219">
        <v>0</v>
      </c>
      <c r="V37" s="176"/>
      <c r="W37" s="173">
        <v>0</v>
      </c>
      <c r="X37" s="217">
        <v>0</v>
      </c>
      <c r="Y37" s="176"/>
      <c r="Z37" s="220">
        <v>0</v>
      </c>
      <c r="AA37" s="221">
        <v>0</v>
      </c>
      <c r="AB37" s="221">
        <v>0</v>
      </c>
      <c r="AC37" s="222">
        <v>0</v>
      </c>
      <c r="AD37" s="221">
        <v>0</v>
      </c>
      <c r="AE37" s="223">
        <v>0</v>
      </c>
      <c r="AF37" s="62"/>
      <c r="AG37" s="62"/>
    </row>
    <row r="38" spans="1:33" ht="15.75" customHeight="1" thickTop="1" thickBot="1" x14ac:dyDescent="0.3">
      <c r="A38" s="64"/>
      <c r="B38" s="258"/>
      <c r="C38" s="259"/>
      <c r="D38" s="258"/>
      <c r="E38" s="249"/>
      <c r="F38" s="249"/>
      <c r="G38" s="249"/>
      <c r="H38" s="249"/>
      <c r="I38" s="249"/>
      <c r="J38" s="249"/>
      <c r="K38" s="249"/>
      <c r="L38" s="264"/>
      <c r="M38" s="179">
        <v>0</v>
      </c>
      <c r="N38" s="244"/>
      <c r="O38" s="245"/>
      <c r="P38" s="181">
        <v>0</v>
      </c>
      <c r="Q38" s="217">
        <v>0</v>
      </c>
      <c r="R38" s="176"/>
      <c r="S38" s="218">
        <v>0</v>
      </c>
      <c r="T38" s="252"/>
      <c r="U38" s="219">
        <v>0</v>
      </c>
      <c r="V38" s="176"/>
      <c r="W38" s="173">
        <v>0</v>
      </c>
      <c r="X38" s="217">
        <v>0</v>
      </c>
      <c r="Y38" s="176"/>
      <c r="Z38" s="220">
        <v>0</v>
      </c>
      <c r="AA38" s="221">
        <v>0</v>
      </c>
      <c r="AB38" s="221">
        <v>0</v>
      </c>
      <c r="AC38" s="222">
        <v>0</v>
      </c>
      <c r="AD38" s="221">
        <v>0</v>
      </c>
      <c r="AE38" s="223">
        <v>0</v>
      </c>
      <c r="AF38" s="62"/>
      <c r="AG38" s="62"/>
    </row>
    <row r="39" spans="1:33" ht="15.75" customHeight="1" thickTop="1" thickBot="1" x14ac:dyDescent="0.3">
      <c r="A39" s="64"/>
      <c r="B39" s="258"/>
      <c r="C39" s="259"/>
      <c r="D39" s="258"/>
      <c r="E39" s="249"/>
      <c r="F39" s="249"/>
      <c r="G39" s="249"/>
      <c r="H39" s="249"/>
      <c r="I39" s="249"/>
      <c r="J39" s="249"/>
      <c r="K39" s="249"/>
      <c r="L39" s="264"/>
      <c r="M39" s="179">
        <v>0</v>
      </c>
      <c r="N39" s="244"/>
      <c r="O39" s="245"/>
      <c r="P39" s="181">
        <v>0</v>
      </c>
      <c r="Q39" s="217">
        <v>0</v>
      </c>
      <c r="R39" s="176"/>
      <c r="S39" s="218">
        <v>0</v>
      </c>
      <c r="T39" s="252"/>
      <c r="U39" s="219">
        <v>0</v>
      </c>
      <c r="V39" s="176"/>
      <c r="W39" s="173">
        <v>0</v>
      </c>
      <c r="X39" s="217">
        <v>0</v>
      </c>
      <c r="Y39" s="176"/>
      <c r="Z39" s="220">
        <v>0</v>
      </c>
      <c r="AA39" s="221">
        <v>0</v>
      </c>
      <c r="AB39" s="221">
        <v>0</v>
      </c>
      <c r="AC39" s="222">
        <v>0</v>
      </c>
      <c r="AD39" s="221">
        <v>0</v>
      </c>
      <c r="AE39" s="223">
        <v>0</v>
      </c>
      <c r="AF39" s="62"/>
      <c r="AG39" s="62"/>
    </row>
    <row r="40" spans="1:33" ht="15.75" customHeight="1" thickTop="1" thickBot="1" x14ac:dyDescent="0.3">
      <c r="A40" s="64"/>
      <c r="B40" s="258"/>
      <c r="C40" s="259"/>
      <c r="D40" s="258"/>
      <c r="E40" s="249"/>
      <c r="F40" s="249"/>
      <c r="G40" s="249"/>
      <c r="H40" s="249"/>
      <c r="I40" s="249"/>
      <c r="J40" s="249"/>
      <c r="K40" s="249"/>
      <c r="L40" s="264"/>
      <c r="M40" s="179">
        <v>0</v>
      </c>
      <c r="N40" s="244"/>
      <c r="O40" s="245"/>
      <c r="P40" s="181">
        <v>0</v>
      </c>
      <c r="Q40" s="217">
        <v>0</v>
      </c>
      <c r="R40" s="176"/>
      <c r="S40" s="218">
        <v>0</v>
      </c>
      <c r="T40" s="252"/>
      <c r="U40" s="219">
        <v>0</v>
      </c>
      <c r="V40" s="176"/>
      <c r="W40" s="173">
        <v>0</v>
      </c>
      <c r="X40" s="217">
        <v>0</v>
      </c>
      <c r="Y40" s="176"/>
      <c r="Z40" s="220">
        <v>0</v>
      </c>
      <c r="AA40" s="221">
        <v>0</v>
      </c>
      <c r="AB40" s="221">
        <v>0</v>
      </c>
      <c r="AC40" s="222">
        <v>0</v>
      </c>
      <c r="AD40" s="221">
        <v>0</v>
      </c>
      <c r="AE40" s="223">
        <v>0</v>
      </c>
      <c r="AF40" s="62"/>
      <c r="AG40" s="62"/>
    </row>
    <row r="41" spans="1:33" ht="15.75" customHeight="1" thickTop="1" thickBot="1" x14ac:dyDescent="0.3">
      <c r="A41" s="63"/>
      <c r="B41" s="258"/>
      <c r="C41" s="259"/>
      <c r="D41" s="258"/>
      <c r="E41" s="249"/>
      <c r="F41" s="249"/>
      <c r="G41" s="249"/>
      <c r="H41" s="249"/>
      <c r="I41" s="249"/>
      <c r="J41" s="249"/>
      <c r="K41" s="249"/>
      <c r="L41" s="264"/>
      <c r="M41" s="179">
        <v>0</v>
      </c>
      <c r="N41" s="244"/>
      <c r="O41" s="245"/>
      <c r="P41" s="181">
        <v>0</v>
      </c>
      <c r="Q41" s="217">
        <v>0</v>
      </c>
      <c r="R41" s="176"/>
      <c r="S41" s="218">
        <v>0</v>
      </c>
      <c r="T41" s="252"/>
      <c r="U41" s="219">
        <v>0</v>
      </c>
      <c r="V41" s="176"/>
      <c r="W41" s="174">
        <v>0</v>
      </c>
      <c r="X41" s="217">
        <v>0</v>
      </c>
      <c r="Y41" s="176"/>
      <c r="Z41" s="220">
        <v>0</v>
      </c>
      <c r="AA41" s="221">
        <v>0</v>
      </c>
      <c r="AB41" s="221">
        <v>0</v>
      </c>
      <c r="AC41" s="222">
        <v>0</v>
      </c>
      <c r="AD41" s="221">
        <v>0</v>
      </c>
      <c r="AE41" s="223">
        <v>0</v>
      </c>
      <c r="AF41" s="62"/>
      <c r="AG41" s="62"/>
    </row>
    <row r="42" spans="1:33" ht="15.75" customHeight="1" thickTop="1" thickBot="1" x14ac:dyDescent="0.3">
      <c r="A42" s="63"/>
      <c r="B42" s="258"/>
      <c r="C42" s="259"/>
      <c r="D42" s="258"/>
      <c r="E42" s="249"/>
      <c r="F42" s="249"/>
      <c r="G42" s="249"/>
      <c r="H42" s="249"/>
      <c r="I42" s="249"/>
      <c r="J42" s="249"/>
      <c r="K42" s="249"/>
      <c r="L42" s="264"/>
      <c r="M42" s="180">
        <v>0</v>
      </c>
      <c r="N42" s="244"/>
      <c r="O42" s="245"/>
      <c r="P42" s="181">
        <v>0</v>
      </c>
      <c r="Q42" s="217">
        <v>0</v>
      </c>
      <c r="R42" s="176"/>
      <c r="S42" s="218">
        <v>0</v>
      </c>
      <c r="T42" s="252"/>
      <c r="U42" s="219">
        <v>0</v>
      </c>
      <c r="V42" s="176"/>
      <c r="W42" s="174">
        <v>0</v>
      </c>
      <c r="X42" s="217">
        <v>0</v>
      </c>
      <c r="Y42" s="176"/>
      <c r="Z42" s="220">
        <v>0</v>
      </c>
      <c r="AA42" s="221">
        <v>0</v>
      </c>
      <c r="AB42" s="221">
        <v>0</v>
      </c>
      <c r="AC42" s="222">
        <v>0</v>
      </c>
      <c r="AD42" s="221">
        <v>0</v>
      </c>
      <c r="AE42" s="223">
        <v>0</v>
      </c>
      <c r="AF42" s="62"/>
      <c r="AG42" s="62"/>
    </row>
    <row r="43" spans="1:33" ht="15.75" customHeight="1" thickTop="1" thickBot="1" x14ac:dyDescent="0.3">
      <c r="A43" s="63"/>
      <c r="B43" s="258"/>
      <c r="C43" s="259"/>
      <c r="D43" s="258"/>
      <c r="E43" s="249"/>
      <c r="F43" s="249"/>
      <c r="G43" s="249"/>
      <c r="H43" s="249"/>
      <c r="I43" s="249"/>
      <c r="J43" s="249"/>
      <c r="K43" s="249"/>
      <c r="L43" s="264"/>
      <c r="M43" s="180">
        <v>0</v>
      </c>
      <c r="N43" s="244"/>
      <c r="O43" s="245"/>
      <c r="P43" s="181">
        <v>0</v>
      </c>
      <c r="Q43" s="217">
        <v>0</v>
      </c>
      <c r="R43" s="176"/>
      <c r="S43" s="218">
        <v>0</v>
      </c>
      <c r="T43" s="252"/>
      <c r="U43" s="219">
        <v>0</v>
      </c>
      <c r="V43" s="176"/>
      <c r="W43" s="174">
        <v>0</v>
      </c>
      <c r="X43" s="217">
        <v>0</v>
      </c>
      <c r="Y43" s="176"/>
      <c r="Z43" s="220">
        <v>0</v>
      </c>
      <c r="AA43" s="221">
        <v>0</v>
      </c>
      <c r="AB43" s="221">
        <v>0</v>
      </c>
      <c r="AC43" s="222">
        <v>0</v>
      </c>
      <c r="AD43" s="221">
        <v>0</v>
      </c>
      <c r="AE43" s="223">
        <v>0</v>
      </c>
      <c r="AF43" s="62"/>
      <c r="AG43" s="62"/>
    </row>
    <row r="44" spans="1:33" ht="15.75" customHeight="1" thickTop="1" thickBot="1" x14ac:dyDescent="0.3">
      <c r="A44" s="63"/>
      <c r="B44" s="258"/>
      <c r="C44" s="259"/>
      <c r="D44" s="258"/>
      <c r="E44" s="249"/>
      <c r="F44" s="249"/>
      <c r="G44" s="249"/>
      <c r="H44" s="249"/>
      <c r="I44" s="249"/>
      <c r="J44" s="249"/>
      <c r="K44" s="249"/>
      <c r="L44" s="264"/>
      <c r="M44" s="180">
        <v>0</v>
      </c>
      <c r="N44" s="244"/>
      <c r="O44" s="245"/>
      <c r="P44" s="181">
        <v>0</v>
      </c>
      <c r="Q44" s="217">
        <v>0</v>
      </c>
      <c r="R44" s="176"/>
      <c r="S44" s="218">
        <v>0</v>
      </c>
      <c r="T44" s="252"/>
      <c r="U44" s="219">
        <v>0</v>
      </c>
      <c r="V44" s="176"/>
      <c r="W44" s="174">
        <v>0</v>
      </c>
      <c r="X44" s="217">
        <v>0</v>
      </c>
      <c r="Y44" s="176"/>
      <c r="Z44" s="220">
        <v>0</v>
      </c>
      <c r="AA44" s="221">
        <v>0</v>
      </c>
      <c r="AB44" s="221">
        <v>0</v>
      </c>
      <c r="AC44" s="222">
        <v>0</v>
      </c>
      <c r="AD44" s="221">
        <v>0</v>
      </c>
      <c r="AE44" s="223">
        <v>0</v>
      </c>
      <c r="AF44" s="62"/>
      <c r="AG44" s="62"/>
    </row>
    <row r="45" spans="1:33" ht="15.75" customHeight="1" thickTop="1" thickBot="1" x14ac:dyDescent="0.3">
      <c r="A45" s="63"/>
      <c r="B45" s="260"/>
      <c r="C45" s="261"/>
      <c r="D45" s="260"/>
      <c r="E45" s="265"/>
      <c r="F45" s="265"/>
      <c r="G45" s="265"/>
      <c r="H45" s="265"/>
      <c r="I45" s="265"/>
      <c r="J45" s="265"/>
      <c r="K45" s="265"/>
      <c r="L45" s="266"/>
      <c r="M45" s="183">
        <v>0</v>
      </c>
      <c r="N45" s="246"/>
      <c r="O45" s="247"/>
      <c r="P45" s="184">
        <v>0</v>
      </c>
      <c r="Q45" s="224">
        <v>0</v>
      </c>
      <c r="R45" s="176"/>
      <c r="S45" s="234">
        <v>0</v>
      </c>
      <c r="T45" s="253"/>
      <c r="U45" s="235">
        <v>0</v>
      </c>
      <c r="V45" s="176"/>
      <c r="W45" s="226">
        <v>0</v>
      </c>
      <c r="X45" s="224">
        <v>0</v>
      </c>
      <c r="Y45" s="176"/>
      <c r="Z45" s="225">
        <v>0</v>
      </c>
      <c r="AA45" s="227">
        <v>0</v>
      </c>
      <c r="AB45" s="227">
        <v>0</v>
      </c>
      <c r="AC45" s="228">
        <v>0</v>
      </c>
      <c r="AD45" s="227">
        <v>0</v>
      </c>
      <c r="AE45" s="229">
        <v>0</v>
      </c>
      <c r="AF45" s="62"/>
      <c r="AG45" s="62"/>
    </row>
  </sheetData>
  <sheetProtection algorithmName="SHA-512" hashValue="02P4IKN9QFKQyO5+myiVuJ8sUCevvCKkoxjOwtp1q5jnwndGAXw1W5PNyg6g/n3jPdDcpFWZuzgQKbjp/1KF7A==" saltValue="eaSHazUn+5aKrfmFO8K+0A==" spinCount="100000" sheet="1" objects="1" scenarios="1" formatCells="0" formatColumns="0" formatRows="0"/>
  <mergeCells count="8">
    <mergeCell ref="S13:U13"/>
    <mergeCell ref="W13:Y13"/>
    <mergeCell ref="Z13:AE13"/>
    <mergeCell ref="I3:J3"/>
    <mergeCell ref="I4:J4"/>
    <mergeCell ref="I5:J5"/>
    <mergeCell ref="I7:J7"/>
    <mergeCell ref="B13:Q13"/>
  </mergeCells>
  <pageMargins left="0.7" right="0.7" top="0.75" bottom="0.75" header="0" footer="0"/>
  <pageSetup orientation="landscape"/>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4125"/>
    <outlinePr summaryBelow="0" summaryRight="0"/>
  </sheetPr>
  <dimension ref="A1:AG45"/>
  <sheetViews>
    <sheetView showGridLines="0" showRowColHeaders="0" zoomScale="90" zoomScaleNormal="90" workbookViewId="0"/>
  </sheetViews>
  <sheetFormatPr defaultColWidth="14.44140625" defaultRowHeight="15" customHeight="1" x14ac:dyDescent="0.25"/>
  <cols>
    <col min="1" max="1" width="5.88671875" customWidth="1"/>
    <col min="2" max="2" width="11.33203125" customWidth="1"/>
    <col min="3" max="3" width="10.88671875" customWidth="1"/>
    <col min="4" max="4" width="9" customWidth="1"/>
    <col min="5" max="5" width="11.33203125" customWidth="1"/>
    <col min="6" max="6" width="10.88671875" customWidth="1"/>
    <col min="7" max="7" width="10.109375" customWidth="1"/>
    <col min="8" max="8" width="11.44140625" customWidth="1"/>
    <col min="9" max="9" width="9.44140625" customWidth="1"/>
    <col min="10" max="12" width="6.33203125" customWidth="1"/>
    <col min="13" max="13" width="13.5546875" customWidth="1"/>
    <col min="14" max="14" width="11.109375" customWidth="1"/>
    <col min="15" max="15" width="12.88671875" customWidth="1"/>
    <col min="16" max="16" width="14.109375" customWidth="1"/>
    <col min="17" max="17" width="12" customWidth="1"/>
    <col min="18" max="18" width="2" customWidth="1"/>
    <col min="19" max="19" width="11.44140625" customWidth="1"/>
    <col min="20" max="20" width="9.33203125" customWidth="1"/>
    <col min="21" max="21" width="12.88671875" customWidth="1"/>
    <col min="22" max="22" width="2" customWidth="1"/>
    <col min="23" max="23" width="13.33203125" customWidth="1"/>
    <col min="24" max="24" width="13.109375" customWidth="1"/>
    <col min="25" max="25" width="2" customWidth="1"/>
  </cols>
  <sheetData>
    <row r="1" spans="1:33" ht="13.2" x14ac:dyDescent="0.25">
      <c r="A1" s="61"/>
      <c r="B1" s="132" t="s">
        <v>49</v>
      </c>
      <c r="C1" s="133"/>
      <c r="D1" s="133"/>
      <c r="E1" s="187"/>
      <c r="F1" s="61"/>
      <c r="G1" s="61"/>
      <c r="H1" s="61"/>
      <c r="I1" s="61"/>
      <c r="J1" s="61"/>
      <c r="K1" s="61"/>
      <c r="L1" s="61"/>
      <c r="M1" s="61"/>
      <c r="N1" s="188"/>
      <c r="O1" s="188"/>
      <c r="P1" s="188"/>
      <c r="Q1" s="61"/>
      <c r="R1" s="61"/>
      <c r="S1" s="61"/>
      <c r="T1" s="61"/>
      <c r="U1" s="62"/>
      <c r="V1" s="61"/>
      <c r="W1" s="62"/>
      <c r="X1" s="62"/>
      <c r="Y1" s="62"/>
      <c r="Z1" s="62"/>
      <c r="AA1" s="62"/>
      <c r="AB1" s="62"/>
      <c r="AC1" s="62"/>
      <c r="AD1" s="62"/>
      <c r="AE1" s="62"/>
      <c r="AF1" s="62"/>
      <c r="AG1" s="62"/>
    </row>
    <row r="2" spans="1:33" ht="13.2" x14ac:dyDescent="0.25">
      <c r="A2" s="63"/>
      <c r="B2" s="132" t="s">
        <v>50</v>
      </c>
      <c r="C2" s="132"/>
      <c r="D2" s="132"/>
      <c r="E2" s="63"/>
      <c r="F2" s="63"/>
      <c r="G2" s="63"/>
      <c r="H2" s="63"/>
      <c r="I2" s="63"/>
      <c r="J2" s="63"/>
      <c r="K2" s="63"/>
      <c r="L2" s="63"/>
      <c r="M2" s="63"/>
      <c r="N2" s="64"/>
      <c r="O2" s="64"/>
      <c r="P2" s="64"/>
      <c r="Q2" s="63"/>
      <c r="R2" s="63"/>
      <c r="S2" s="63"/>
      <c r="T2" s="63"/>
      <c r="U2" s="62"/>
      <c r="V2" s="63"/>
      <c r="W2" s="62"/>
      <c r="X2" s="62"/>
      <c r="Y2" s="62"/>
      <c r="Z2" s="62"/>
      <c r="AA2" s="62"/>
      <c r="AB2" s="62"/>
      <c r="AC2" s="62"/>
      <c r="AD2" s="62"/>
      <c r="AE2" s="62"/>
      <c r="AF2" s="62"/>
      <c r="AG2" s="62"/>
    </row>
    <row r="3" spans="1:33" ht="13.2" x14ac:dyDescent="0.25">
      <c r="A3" s="65"/>
      <c r="B3" s="134"/>
      <c r="C3" s="135" t="s">
        <v>14</v>
      </c>
      <c r="D3" s="136">
        <f>DR</f>
        <v>0.1</v>
      </c>
      <c r="F3" s="137"/>
      <c r="G3" s="138"/>
      <c r="H3" s="16" t="str">
        <f>SP&amp;" Year Undiscounted Costs:"</f>
        <v>10 Year Undiscounted Costs:</v>
      </c>
      <c r="I3" s="300">
        <f>SUM(W16:W45)</f>
        <v>297124.40288184234</v>
      </c>
      <c r="J3" s="301"/>
      <c r="K3" s="62"/>
      <c r="N3" s="189" t="s">
        <v>19</v>
      </c>
      <c r="O3" s="190" t="s">
        <v>32</v>
      </c>
      <c r="P3" s="191" t="s">
        <v>33</v>
      </c>
      <c r="R3" s="62"/>
      <c r="S3" s="62"/>
      <c r="T3" s="62"/>
      <c r="U3" s="62"/>
      <c r="V3" s="62"/>
      <c r="W3" s="62"/>
      <c r="X3" s="62"/>
      <c r="Y3" s="62"/>
      <c r="Z3" s="62"/>
      <c r="AA3" s="62"/>
      <c r="AB3" s="62"/>
      <c r="AC3" s="62"/>
      <c r="AD3" s="62"/>
      <c r="AE3" s="62"/>
      <c r="AF3" s="62"/>
      <c r="AG3" s="62"/>
    </row>
    <row r="4" spans="1:33" ht="13.2" x14ac:dyDescent="0.25">
      <c r="A4" s="65"/>
      <c r="B4" s="140"/>
      <c r="C4" s="141" t="s">
        <v>16</v>
      </c>
      <c r="D4" s="142">
        <f>Inf</f>
        <v>0.03</v>
      </c>
      <c r="F4" s="143"/>
      <c r="G4" s="144"/>
      <c r="H4" s="141" t="str">
        <f>"NPV Alt 4 "&amp;SP&amp;" Year Total:"</f>
        <v>NPV Alt 4 10 Year Total:</v>
      </c>
      <c r="I4" s="302">
        <f>SUM(X16:X45)</f>
        <v>174324.66257516903</v>
      </c>
      <c r="J4" s="303"/>
      <c r="K4" s="62"/>
      <c r="N4" s="231">
        <f>IFERROR((P8/P9)-1,"-")</f>
        <v>-95.498992599647394</v>
      </c>
      <c r="O4" s="193" cm="1">
        <f t="array" ref="O4">INDEX(A:A,INDEX(_xlfn._xlws.FILTER(ROW(AE16:AE45),AE16:AE45&gt;1),1),1)</f>
        <v>2</v>
      </c>
      <c r="P4" s="194">
        <f>IFERROR(P11/P9,"-")</f>
        <v>-94.498992599647394</v>
      </c>
      <c r="R4" s="62"/>
      <c r="S4" s="62"/>
      <c r="T4" s="62"/>
      <c r="U4" s="62"/>
      <c r="V4" s="62"/>
      <c r="W4" s="62"/>
      <c r="X4" s="62"/>
      <c r="Y4" s="62"/>
      <c r="Z4" s="62"/>
      <c r="AA4" s="62"/>
      <c r="AB4" s="62"/>
      <c r="AC4" s="62"/>
      <c r="AD4" s="62"/>
      <c r="AE4" s="62"/>
      <c r="AF4" s="62"/>
      <c r="AG4" s="62"/>
    </row>
    <row r="5" spans="1:33" ht="13.2" x14ac:dyDescent="0.25">
      <c r="A5" s="65"/>
      <c r="B5" s="140"/>
      <c r="C5" s="141" t="s">
        <v>15</v>
      </c>
      <c r="D5" s="147">
        <f>SP</f>
        <v>10</v>
      </c>
      <c r="F5" s="148"/>
      <c r="G5" s="149"/>
      <c r="H5" s="150" t="s">
        <v>51</v>
      </c>
      <c r="I5" s="304">
        <f t="array" ref="I5">NPV(DR,W16:W45)</f>
        <v>174324.66257516906</v>
      </c>
      <c r="J5" s="305"/>
      <c r="K5" s="62"/>
      <c r="L5" s="62"/>
      <c r="M5" s="62"/>
      <c r="N5" s="62"/>
      <c r="R5" s="62"/>
      <c r="S5" s="62"/>
      <c r="T5" s="62"/>
      <c r="U5" s="62"/>
      <c r="V5" s="62"/>
      <c r="W5" s="62"/>
      <c r="X5" s="62"/>
      <c r="Y5" s="62"/>
      <c r="Z5" s="62"/>
      <c r="AA5" s="62"/>
      <c r="AB5" s="62"/>
      <c r="AC5" s="62"/>
      <c r="AD5" s="62"/>
      <c r="AE5" s="62"/>
      <c r="AF5" s="62"/>
      <c r="AG5" s="62"/>
    </row>
    <row r="6" spans="1:33" ht="13.2" x14ac:dyDescent="0.25">
      <c r="A6" s="65"/>
      <c r="B6" s="151"/>
      <c r="C6" s="150" t="s">
        <v>52</v>
      </c>
      <c r="D6" s="240">
        <v>0.5</v>
      </c>
      <c r="F6" s="85"/>
      <c r="I6" s="85"/>
      <c r="J6" s="86"/>
      <c r="K6" s="62"/>
      <c r="L6" s="62"/>
      <c r="M6" s="134"/>
      <c r="N6" s="195"/>
      <c r="O6" s="16" t="s">
        <v>78</v>
      </c>
      <c r="P6" s="241">
        <v>0</v>
      </c>
      <c r="R6" s="62"/>
      <c r="S6" s="62"/>
      <c r="T6" s="62"/>
      <c r="U6" s="62"/>
      <c r="V6" s="62"/>
      <c r="W6" s="62"/>
      <c r="X6" s="62"/>
      <c r="Y6" s="62"/>
      <c r="Z6" s="62"/>
      <c r="AA6" s="62"/>
      <c r="AB6" s="62"/>
      <c r="AC6" s="62"/>
      <c r="AD6" s="62"/>
      <c r="AE6" s="62"/>
      <c r="AF6" s="62"/>
      <c r="AG6" s="62"/>
    </row>
    <row r="7" spans="1:33" ht="13.2" x14ac:dyDescent="0.25">
      <c r="A7" s="65"/>
      <c r="B7" s="85"/>
      <c r="C7" s="196"/>
      <c r="D7" s="85"/>
      <c r="E7" s="85"/>
      <c r="F7" s="85"/>
      <c r="G7" s="197"/>
      <c r="H7" s="198" t="s">
        <v>79</v>
      </c>
      <c r="I7" s="307">
        <f t="array" ref="I7">NPV(DR,U16:U45)</f>
        <v>6.883743691277723</v>
      </c>
      <c r="J7" s="308"/>
      <c r="K7" s="62"/>
      <c r="L7" s="62"/>
      <c r="M7" s="140"/>
      <c r="O7" s="141" t="s">
        <v>80</v>
      </c>
      <c r="P7" s="199">
        <f t="array" ref="P7">INDEX(A16:AE45,MATCH(SP,A16:A45,0),31)</f>
        <v>-20569.778371922428</v>
      </c>
      <c r="Q7" s="200" t="s">
        <v>81</v>
      </c>
      <c r="R7" s="62"/>
      <c r="T7" s="62"/>
      <c r="U7" s="62"/>
      <c r="V7" s="62"/>
      <c r="W7" s="62"/>
      <c r="X7" s="62"/>
      <c r="Y7" s="62"/>
      <c r="Z7" s="62"/>
      <c r="AA7" s="62"/>
      <c r="AB7" s="62"/>
      <c r="AC7" s="62"/>
      <c r="AD7" s="62"/>
      <c r="AE7" s="62"/>
      <c r="AF7" s="62"/>
      <c r="AG7" s="62"/>
    </row>
    <row r="8" spans="1:33" ht="13.2" x14ac:dyDescent="0.25">
      <c r="A8" s="65"/>
      <c r="B8" s="85"/>
      <c r="C8" s="85"/>
      <c r="D8" s="85"/>
      <c r="E8" s="85"/>
      <c r="F8" s="85"/>
      <c r="G8" s="85"/>
      <c r="H8" s="85"/>
      <c r="I8" s="85"/>
      <c r="J8" s="86"/>
      <c r="K8" s="62"/>
      <c r="L8" s="62"/>
      <c r="M8" s="140"/>
      <c r="O8" s="141" t="s">
        <v>82</v>
      </c>
      <c r="P8" s="199">
        <f>P7-P6-P9</f>
        <v>-20789.778371922428</v>
      </c>
      <c r="Q8" s="200" t="s">
        <v>83</v>
      </c>
      <c r="R8" s="62"/>
      <c r="T8" s="62"/>
      <c r="U8" s="62"/>
      <c r="V8" s="62"/>
      <c r="W8" s="62"/>
      <c r="X8" s="62"/>
      <c r="Y8" s="62"/>
      <c r="Z8" s="62"/>
      <c r="AA8" s="62"/>
      <c r="AB8" s="62"/>
      <c r="AC8" s="62"/>
      <c r="AD8" s="62"/>
      <c r="AE8" s="62"/>
      <c r="AF8" s="62"/>
      <c r="AG8" s="62"/>
    </row>
    <row r="9" spans="1:33" ht="13.2" x14ac:dyDescent="0.25">
      <c r="A9" s="65"/>
      <c r="B9" s="85"/>
      <c r="C9" s="85"/>
      <c r="D9" s="85"/>
      <c r="E9" s="85"/>
      <c r="F9" s="85"/>
      <c r="G9" s="85"/>
      <c r="H9" s="85"/>
      <c r="I9" s="85"/>
      <c r="J9" s="86"/>
      <c r="K9" s="62"/>
      <c r="L9" s="62"/>
      <c r="M9" s="140"/>
      <c r="O9" s="141" t="s">
        <v>84</v>
      </c>
      <c r="P9" s="199">
        <f t="array" ref="P9">INDEX(A16:AE45,MATCH(SP,A16:A45,0),26)*-1</f>
        <v>220</v>
      </c>
      <c r="Q9" s="200" t="s">
        <v>85</v>
      </c>
      <c r="R9" s="62"/>
      <c r="T9" s="62"/>
      <c r="U9" s="62"/>
      <c r="V9" s="62"/>
      <c r="W9" s="62"/>
      <c r="X9" s="62"/>
      <c r="Y9" s="62"/>
      <c r="Z9" s="62"/>
      <c r="AA9" s="62"/>
      <c r="AB9" s="62"/>
      <c r="AC9" s="62"/>
      <c r="AD9" s="62"/>
      <c r="AE9" s="62"/>
      <c r="AF9" s="62"/>
      <c r="AG9" s="62"/>
    </row>
    <row r="10" spans="1:33" ht="13.2" x14ac:dyDescent="0.25">
      <c r="A10" s="65"/>
      <c r="B10" s="85"/>
      <c r="C10" s="85"/>
      <c r="D10" s="85"/>
      <c r="E10" s="85"/>
      <c r="F10" s="85"/>
      <c r="G10" s="85"/>
      <c r="H10" s="85"/>
      <c r="I10" s="85"/>
      <c r="J10" s="86"/>
      <c r="K10" s="62"/>
      <c r="L10" s="62"/>
      <c r="M10" s="140"/>
      <c r="O10" s="141" t="s">
        <v>86</v>
      </c>
      <c r="P10" s="199">
        <f>D6*P9</f>
        <v>110</v>
      </c>
      <c r="Q10" s="200" t="s">
        <v>87</v>
      </c>
      <c r="R10" s="62"/>
      <c r="T10" s="62"/>
      <c r="U10" s="62"/>
      <c r="V10" s="62"/>
      <c r="W10" s="62"/>
      <c r="X10" s="62"/>
      <c r="Y10" s="62"/>
      <c r="Z10" s="62"/>
      <c r="AA10" s="62"/>
      <c r="AB10" s="62"/>
      <c r="AC10" s="62"/>
      <c r="AD10" s="62"/>
      <c r="AE10" s="62"/>
      <c r="AF10" s="62"/>
      <c r="AG10" s="62"/>
    </row>
    <row r="11" spans="1:33" ht="13.2" x14ac:dyDescent="0.25">
      <c r="A11" s="65"/>
      <c r="B11" s="85"/>
      <c r="C11" s="85"/>
      <c r="D11" s="85"/>
      <c r="E11" s="85"/>
      <c r="F11" s="85"/>
      <c r="G11" s="85"/>
      <c r="H11" s="85"/>
      <c r="I11" s="85"/>
      <c r="J11" s="85"/>
      <c r="K11" s="85"/>
      <c r="L11" s="85"/>
      <c r="M11" s="201"/>
      <c r="N11" s="202"/>
      <c r="O11" s="150" t="s">
        <v>88</v>
      </c>
      <c r="P11" s="203">
        <f>P8</f>
        <v>-20789.778371922428</v>
      </c>
      <c r="Q11" s="200" t="s">
        <v>89</v>
      </c>
      <c r="R11" s="11"/>
      <c r="T11" s="62"/>
      <c r="U11" s="62"/>
      <c r="V11" s="62"/>
      <c r="W11" s="62"/>
      <c r="X11" s="62"/>
      <c r="Y11" s="62"/>
      <c r="Z11" s="62"/>
      <c r="AA11" s="62"/>
      <c r="AB11" s="62"/>
      <c r="AC11" s="62"/>
      <c r="AD11" s="62"/>
      <c r="AE11" s="62"/>
      <c r="AF11" s="62"/>
      <c r="AG11" s="62"/>
    </row>
    <row r="12" spans="1:33" ht="13.2" x14ac:dyDescent="0.25">
      <c r="A12" s="65"/>
      <c r="B12" s="85"/>
      <c r="C12" s="85"/>
      <c r="D12" s="85"/>
      <c r="E12" s="85"/>
      <c r="F12" s="85"/>
      <c r="G12" s="85"/>
      <c r="H12" s="85"/>
      <c r="I12" s="85"/>
      <c r="J12" s="85"/>
      <c r="K12" s="85"/>
      <c r="L12" s="85"/>
      <c r="M12" s="86"/>
      <c r="N12" s="62"/>
      <c r="O12" s="62"/>
      <c r="P12" s="62"/>
      <c r="Q12" s="62"/>
      <c r="R12" s="62"/>
      <c r="S12" s="62"/>
      <c r="T12" s="62"/>
      <c r="U12" s="62"/>
      <c r="V12" s="62"/>
      <c r="W12" s="62"/>
      <c r="X12" s="62"/>
      <c r="Y12" s="62"/>
      <c r="Z12" s="62"/>
      <c r="AA12" s="62"/>
      <c r="AB12" s="62"/>
      <c r="AC12" s="62"/>
      <c r="AD12" s="62"/>
      <c r="AE12" s="62"/>
      <c r="AF12" s="62"/>
      <c r="AG12" s="62"/>
    </row>
    <row r="13" spans="1:33" ht="13.8" x14ac:dyDescent="0.25">
      <c r="A13" s="65"/>
      <c r="B13" s="306" t="s">
        <v>53</v>
      </c>
      <c r="C13" s="277"/>
      <c r="D13" s="277"/>
      <c r="E13" s="277"/>
      <c r="F13" s="277"/>
      <c r="G13" s="277"/>
      <c r="H13" s="277"/>
      <c r="I13" s="277"/>
      <c r="J13" s="277"/>
      <c r="K13" s="277"/>
      <c r="L13" s="277"/>
      <c r="M13" s="277"/>
      <c r="N13" s="277"/>
      <c r="O13" s="277"/>
      <c r="P13" s="277"/>
      <c r="Q13" s="277"/>
      <c r="R13" s="154"/>
      <c r="S13" s="297" t="s">
        <v>54</v>
      </c>
      <c r="T13" s="277"/>
      <c r="U13" s="277"/>
      <c r="V13" s="64"/>
      <c r="W13" s="297" t="s">
        <v>55</v>
      </c>
      <c r="X13" s="277"/>
      <c r="Y13" s="277"/>
      <c r="Z13" s="297" t="s">
        <v>32</v>
      </c>
      <c r="AA13" s="277"/>
      <c r="AB13" s="277"/>
      <c r="AC13" s="277"/>
      <c r="AD13" s="277"/>
      <c r="AE13" s="277"/>
      <c r="AF13" s="62"/>
      <c r="AG13" s="62"/>
    </row>
    <row r="14" spans="1:33" ht="13.2" x14ac:dyDescent="0.25">
      <c r="A14" s="103"/>
      <c r="B14" s="155"/>
      <c r="C14" s="156" t="s">
        <v>56</v>
      </c>
      <c r="D14" s="141"/>
      <c r="E14" s="157"/>
      <c r="F14" s="64"/>
      <c r="G14" s="64"/>
      <c r="H14" s="154"/>
      <c r="I14" s="64"/>
      <c r="J14" s="64"/>
      <c r="K14" s="64"/>
      <c r="L14" s="64"/>
      <c r="M14" s="156" t="s">
        <v>57</v>
      </c>
      <c r="N14" s="64"/>
      <c r="O14" s="64"/>
      <c r="P14" s="103"/>
      <c r="Q14" s="103"/>
      <c r="R14" s="105"/>
      <c r="S14" s="24"/>
      <c r="T14" s="158" t="s">
        <v>90</v>
      </c>
      <c r="U14" s="24"/>
      <c r="V14" s="105"/>
      <c r="W14" s="105"/>
      <c r="X14" s="105"/>
      <c r="Y14" s="105"/>
      <c r="Z14" s="105"/>
      <c r="AA14" s="105"/>
      <c r="AB14" s="204"/>
      <c r="AC14" s="204"/>
      <c r="AD14" s="105"/>
      <c r="AE14" s="105"/>
      <c r="AF14" s="105"/>
      <c r="AG14" s="105"/>
    </row>
    <row r="15" spans="1:33" ht="63.75" customHeight="1" x14ac:dyDescent="0.25">
      <c r="A15" s="159" t="s">
        <v>46</v>
      </c>
      <c r="B15" s="205" t="s">
        <v>59</v>
      </c>
      <c r="C15" s="206" t="s">
        <v>60</v>
      </c>
      <c r="D15" s="207" t="s">
        <v>61</v>
      </c>
      <c r="E15" s="208" t="s">
        <v>62</v>
      </c>
      <c r="F15" s="209" t="s">
        <v>63</v>
      </c>
      <c r="G15" s="209" t="s">
        <v>64</v>
      </c>
      <c r="H15" s="208" t="s">
        <v>65</v>
      </c>
      <c r="I15" s="209" t="s">
        <v>66</v>
      </c>
      <c r="J15" s="208" t="s">
        <v>67</v>
      </c>
      <c r="K15" s="208" t="s">
        <v>67</v>
      </c>
      <c r="L15" s="210" t="s">
        <v>67</v>
      </c>
      <c r="M15" s="211" t="s">
        <v>91</v>
      </c>
      <c r="N15" s="212" t="s">
        <v>69</v>
      </c>
      <c r="O15" s="213" t="s">
        <v>70</v>
      </c>
      <c r="P15" s="214" t="s">
        <v>92</v>
      </c>
      <c r="Q15" s="206" t="s">
        <v>93</v>
      </c>
      <c r="R15" s="169"/>
      <c r="S15" s="215" t="s">
        <v>73</v>
      </c>
      <c r="T15" s="208" t="s">
        <v>74</v>
      </c>
      <c r="U15" s="216" t="s">
        <v>94</v>
      </c>
      <c r="V15" s="169"/>
      <c r="W15" s="215" t="s">
        <v>76</v>
      </c>
      <c r="X15" s="206" t="s">
        <v>95</v>
      </c>
      <c r="Y15" s="172"/>
      <c r="Z15" s="205" t="s">
        <v>96</v>
      </c>
      <c r="AA15" s="208" t="s">
        <v>97</v>
      </c>
      <c r="AB15" s="208" t="s">
        <v>98</v>
      </c>
      <c r="AC15" s="210" t="s">
        <v>99</v>
      </c>
      <c r="AD15" s="208" t="s">
        <v>100</v>
      </c>
      <c r="AE15" s="206" t="s">
        <v>101</v>
      </c>
      <c r="AF15" s="172"/>
      <c r="AG15" s="172"/>
    </row>
    <row r="16" spans="1:33" ht="15.75" customHeight="1" thickBot="1" x14ac:dyDescent="0.3">
      <c r="A16" s="64" cm="1">
        <f t="array" ref="A16:A25">_xlfn.SEQUENCE(SP)</f>
        <v>1</v>
      </c>
      <c r="B16" s="256">
        <v>0</v>
      </c>
      <c r="C16" s="257">
        <v>0</v>
      </c>
      <c r="D16" s="256">
        <v>20</v>
      </c>
      <c r="E16" s="262">
        <v>5000</v>
      </c>
      <c r="F16" s="262">
        <v>10000</v>
      </c>
      <c r="G16" s="262">
        <v>3000</v>
      </c>
      <c r="H16" s="262">
        <v>1000</v>
      </c>
      <c r="I16" s="262">
        <v>5</v>
      </c>
      <c r="J16" s="262"/>
      <c r="K16" s="262"/>
      <c r="L16" s="263"/>
      <c r="M16" s="179">
        <f t="array" ref="M16:M45">B16:B45+C16:C45+D16:D45+E16:E45+F16:F45+G16:G45+H16:H45+I16:I45+J16:J45+K16:K45+L16:L45</f>
        <v>19025</v>
      </c>
      <c r="N16" s="242">
        <v>100</v>
      </c>
      <c r="O16" s="243">
        <v>5000</v>
      </c>
      <c r="P16" s="181">
        <f t="array" ref="P16:P45">M16:M45+N16:N45+O16:O45</f>
        <v>24125</v>
      </c>
      <c r="Q16" s="217">
        <f t="array" ref="Q16:Q45">P16:P45*((1+Inf)^(A16:A45-1))</f>
        <v>24125</v>
      </c>
      <c r="R16" s="176"/>
      <c r="S16" s="218">
        <f t="array" ref="S16:S45">B16:B45*$D$6</f>
        <v>0</v>
      </c>
      <c r="T16" s="251">
        <v>1</v>
      </c>
      <c r="U16" s="219">
        <f t="array" ref="U16:U45">(S16:S45+T16:T45)*((1+Inf)^(A16:A45-1))</f>
        <v>1</v>
      </c>
      <c r="V16" s="176"/>
      <c r="W16" s="173">
        <f t="array" ref="W16:W45">Q16:Q45-U16:U45</f>
        <v>24124</v>
      </c>
      <c r="X16" s="217">
        <f t="array" ref="X16:X45">W16:W45/(1+DR)^A16:A45</f>
        <v>21930.909090909088</v>
      </c>
      <c r="Y16" s="176"/>
      <c r="Z16" s="220">
        <f t="array" ref="Z16:Z45">IF(A16:A45&lt;&gt;"",(MMULT(1*(TRANSPOSE(ROW(B16:C45))&lt;=ROW(B16:C45)),-(B16:B45+C16:C45))),0)</f>
        <v>0</v>
      </c>
      <c r="AA16" s="221">
        <f t="array" ref="AA16:AA45">IF(A16:A45&lt;&gt;"",(MMULT(1*(TRANSPOSE(ROW(U16:U45))&lt;=ROW(U16:U45)),U16:U45)),0)</f>
        <v>1</v>
      </c>
      <c r="AB16" s="221">
        <f t="array" ref="AB16:AB45">IF(A16:A45&lt;&gt;"",(MMULT(1*(TRANSPOSE(ROW(Q16:Q45))&lt;=ROW(Q16:Q45)),Q16-Q16:Q45)),0)</f>
        <v>0</v>
      </c>
      <c r="AC16" s="222">
        <f t="array" ref="AC16:AC45">IF(A16:A45&lt;&gt;"",Z16:Z45+AA16:AA45+AB16:AB45,0)</f>
        <v>1</v>
      </c>
      <c r="AD16" s="221">
        <f t="array" ref="AD16:AD45">IF(A16:A45&lt;&gt;"",'SQ Mgmt'!W12:W41-W16:W45,0)</f>
        <v>0</v>
      </c>
      <c r="AE16" s="223">
        <f t="array" ref="AE16:AE45">IF(A16:A45&lt;&gt;"",(MMULT(1*(TRANSPOSE(ROW(AD16:AD45))&lt;=ROW(AD16:AD45)),AD16:AD45)),0)</f>
        <v>0</v>
      </c>
      <c r="AF16" s="62"/>
      <c r="AG16" s="62"/>
    </row>
    <row r="17" spans="1:33" ht="15.75" customHeight="1" thickTop="1" thickBot="1" x14ac:dyDescent="0.3">
      <c r="A17" s="64">
        <v>2</v>
      </c>
      <c r="B17" s="258">
        <v>0</v>
      </c>
      <c r="C17" s="259">
        <v>0</v>
      </c>
      <c r="D17" s="258">
        <v>20</v>
      </c>
      <c r="E17" s="249">
        <v>2000</v>
      </c>
      <c r="F17" s="249">
        <v>8000</v>
      </c>
      <c r="G17" s="249">
        <v>1000</v>
      </c>
      <c r="H17" s="249">
        <v>1000</v>
      </c>
      <c r="I17" s="249">
        <v>5</v>
      </c>
      <c r="J17" s="249"/>
      <c r="K17" s="249"/>
      <c r="L17" s="264"/>
      <c r="M17" s="179">
        <v>12025</v>
      </c>
      <c r="N17" s="244">
        <v>100</v>
      </c>
      <c r="O17" s="245">
        <v>6000</v>
      </c>
      <c r="P17" s="181">
        <v>18125</v>
      </c>
      <c r="Q17" s="217">
        <v>18668.75</v>
      </c>
      <c r="R17" s="176"/>
      <c r="S17" s="218">
        <v>0</v>
      </c>
      <c r="T17" s="252">
        <v>1</v>
      </c>
      <c r="U17" s="219">
        <v>1.03</v>
      </c>
      <c r="V17" s="176"/>
      <c r="W17" s="173">
        <v>18667.72</v>
      </c>
      <c r="X17" s="217">
        <v>15427.867768595041</v>
      </c>
      <c r="Y17" s="176"/>
      <c r="Z17" s="220">
        <v>0</v>
      </c>
      <c r="AA17" s="221">
        <v>2.0300000000000002</v>
      </c>
      <c r="AB17" s="221">
        <v>5456.25</v>
      </c>
      <c r="AC17" s="222">
        <v>5458.28</v>
      </c>
      <c r="AD17" s="221">
        <v>6180</v>
      </c>
      <c r="AE17" s="223">
        <v>6180</v>
      </c>
      <c r="AF17" s="118"/>
      <c r="AG17" s="118"/>
    </row>
    <row r="18" spans="1:33" ht="15.75" customHeight="1" thickTop="1" thickBot="1" x14ac:dyDescent="0.3">
      <c r="A18" s="64">
        <v>3</v>
      </c>
      <c r="B18" s="258">
        <v>0</v>
      </c>
      <c r="C18" s="259">
        <v>0</v>
      </c>
      <c r="D18" s="258">
        <v>20</v>
      </c>
      <c r="E18" s="249">
        <v>2000</v>
      </c>
      <c r="F18" s="249">
        <v>8000</v>
      </c>
      <c r="G18" s="249">
        <v>1000</v>
      </c>
      <c r="H18" s="249">
        <v>1000</v>
      </c>
      <c r="I18" s="249">
        <v>5</v>
      </c>
      <c r="J18" s="249"/>
      <c r="K18" s="249"/>
      <c r="L18" s="264"/>
      <c r="M18" s="179">
        <v>12025</v>
      </c>
      <c r="N18" s="244">
        <v>100</v>
      </c>
      <c r="O18" s="245">
        <v>6000</v>
      </c>
      <c r="P18" s="181">
        <v>18125</v>
      </c>
      <c r="Q18" s="217">
        <v>19228.8125</v>
      </c>
      <c r="R18" s="176"/>
      <c r="S18" s="218">
        <v>0</v>
      </c>
      <c r="T18" s="252">
        <v>1</v>
      </c>
      <c r="U18" s="219">
        <v>1.0609</v>
      </c>
      <c r="V18" s="176"/>
      <c r="W18" s="173">
        <v>19227.7516</v>
      </c>
      <c r="X18" s="217">
        <v>14446.094365138988</v>
      </c>
      <c r="Y18" s="176"/>
      <c r="Z18" s="220">
        <v>0</v>
      </c>
      <c r="AA18" s="221">
        <v>3.0909000000000004</v>
      </c>
      <c r="AB18" s="221">
        <v>10352.4375</v>
      </c>
      <c r="AC18" s="222">
        <v>10355.528399999999</v>
      </c>
      <c r="AD18" s="221">
        <v>6365.3999999999978</v>
      </c>
      <c r="AE18" s="223">
        <v>12545.399999999998</v>
      </c>
      <c r="AF18" s="118"/>
      <c r="AG18" s="118"/>
    </row>
    <row r="19" spans="1:33" ht="15.75" customHeight="1" thickTop="1" thickBot="1" x14ac:dyDescent="0.3">
      <c r="A19" s="64">
        <v>4</v>
      </c>
      <c r="B19" s="258">
        <v>0</v>
      </c>
      <c r="C19" s="259">
        <v>0</v>
      </c>
      <c r="D19" s="258">
        <v>20</v>
      </c>
      <c r="E19" s="249">
        <v>8000</v>
      </c>
      <c r="F19" s="249">
        <v>12000</v>
      </c>
      <c r="G19" s="249">
        <v>1000</v>
      </c>
      <c r="H19" s="249">
        <v>1000</v>
      </c>
      <c r="I19" s="249">
        <v>5</v>
      </c>
      <c r="J19" s="249"/>
      <c r="K19" s="249"/>
      <c r="L19" s="264"/>
      <c r="M19" s="179">
        <v>22025</v>
      </c>
      <c r="N19" s="244">
        <v>100</v>
      </c>
      <c r="O19" s="245">
        <v>7000</v>
      </c>
      <c r="P19" s="181">
        <v>29125</v>
      </c>
      <c r="Q19" s="217">
        <v>31825.673875</v>
      </c>
      <c r="R19" s="176"/>
      <c r="S19" s="218">
        <v>0</v>
      </c>
      <c r="T19" s="252">
        <v>1</v>
      </c>
      <c r="U19" s="219">
        <v>1.092727</v>
      </c>
      <c r="V19" s="176"/>
      <c r="W19" s="173">
        <v>31824.581148000001</v>
      </c>
      <c r="X19" s="217">
        <v>21736.617135441564</v>
      </c>
      <c r="Y19" s="176"/>
      <c r="Z19" s="220">
        <v>0</v>
      </c>
      <c r="AA19" s="221">
        <v>4.1836270000000004</v>
      </c>
      <c r="AB19" s="221">
        <v>2651.7636249999996</v>
      </c>
      <c r="AC19" s="222">
        <v>2655.9472519999995</v>
      </c>
      <c r="AD19" s="221">
        <v>-5463.635000000002</v>
      </c>
      <c r="AE19" s="223">
        <v>7081.7649999999958</v>
      </c>
      <c r="AF19" s="118"/>
      <c r="AG19" s="118"/>
    </row>
    <row r="20" spans="1:33" ht="15.75" customHeight="1" thickTop="1" thickBot="1" x14ac:dyDescent="0.3">
      <c r="A20" s="64">
        <v>5</v>
      </c>
      <c r="B20" s="258">
        <v>0</v>
      </c>
      <c r="C20" s="259">
        <v>20</v>
      </c>
      <c r="D20" s="258">
        <v>20</v>
      </c>
      <c r="E20" s="249">
        <v>8000</v>
      </c>
      <c r="F20" s="249">
        <v>12000</v>
      </c>
      <c r="G20" s="249">
        <v>1000</v>
      </c>
      <c r="H20" s="249">
        <v>1000</v>
      </c>
      <c r="I20" s="249">
        <v>5</v>
      </c>
      <c r="J20" s="249"/>
      <c r="K20" s="249"/>
      <c r="L20" s="264"/>
      <c r="M20" s="179">
        <v>22045</v>
      </c>
      <c r="N20" s="244">
        <v>200</v>
      </c>
      <c r="O20" s="245">
        <v>6000</v>
      </c>
      <c r="P20" s="181">
        <v>28245</v>
      </c>
      <c r="Q20" s="217">
        <v>31789.996338449997</v>
      </c>
      <c r="R20" s="176"/>
      <c r="S20" s="218">
        <v>0</v>
      </c>
      <c r="T20" s="252">
        <v>1</v>
      </c>
      <c r="U20" s="219">
        <v>1.1255088099999999</v>
      </c>
      <c r="V20" s="176"/>
      <c r="W20" s="173">
        <v>31788.870829639996</v>
      </c>
      <c r="X20" s="217">
        <v>19738.387734096643</v>
      </c>
      <c r="Y20" s="176"/>
      <c r="Z20" s="220">
        <v>-20</v>
      </c>
      <c r="AA20" s="221">
        <v>5.3091358100000008</v>
      </c>
      <c r="AB20" s="221">
        <v>-5013.2327134499974</v>
      </c>
      <c r="AC20" s="222">
        <v>-5027.9235776399973</v>
      </c>
      <c r="AD20" s="221">
        <v>-4637.0962971999979</v>
      </c>
      <c r="AE20" s="223">
        <v>2444.6687027999978</v>
      </c>
      <c r="AF20" s="118"/>
      <c r="AG20" s="118"/>
    </row>
    <row r="21" spans="1:33" ht="15.75" customHeight="1" thickTop="1" thickBot="1" x14ac:dyDescent="0.3">
      <c r="A21" s="64">
        <v>6</v>
      </c>
      <c r="B21" s="258">
        <v>0</v>
      </c>
      <c r="C21" s="259">
        <v>40</v>
      </c>
      <c r="D21" s="258">
        <v>20</v>
      </c>
      <c r="E21" s="249">
        <v>9000</v>
      </c>
      <c r="F21" s="249">
        <v>12000</v>
      </c>
      <c r="G21" s="249">
        <v>5000</v>
      </c>
      <c r="H21" s="249">
        <v>1000</v>
      </c>
      <c r="I21" s="249">
        <v>5</v>
      </c>
      <c r="J21" s="249"/>
      <c r="K21" s="249"/>
      <c r="L21" s="264"/>
      <c r="M21" s="179">
        <v>27065</v>
      </c>
      <c r="N21" s="244">
        <v>200</v>
      </c>
      <c r="O21" s="245">
        <v>5000</v>
      </c>
      <c r="P21" s="181">
        <v>32265</v>
      </c>
      <c r="Q21" s="217">
        <v>37403.978007289494</v>
      </c>
      <c r="R21" s="176"/>
      <c r="S21" s="218">
        <v>0</v>
      </c>
      <c r="T21" s="252">
        <v>1</v>
      </c>
      <c r="U21" s="219">
        <v>1.1592740742999998</v>
      </c>
      <c r="V21" s="176"/>
      <c r="W21" s="173">
        <v>37402.818733215194</v>
      </c>
      <c r="X21" s="217">
        <v>21112.916085427019</v>
      </c>
      <c r="Y21" s="176"/>
      <c r="Z21" s="220">
        <v>-60</v>
      </c>
      <c r="AA21" s="221">
        <v>6.4684098843000006</v>
      </c>
      <c r="AB21" s="221">
        <v>-18292.210720739491</v>
      </c>
      <c r="AC21" s="222">
        <v>-18345.742310855192</v>
      </c>
      <c r="AD21" s="221">
        <v>-9436.4909648019966</v>
      </c>
      <c r="AE21" s="223">
        <v>-6991.8222620019988</v>
      </c>
      <c r="AF21" s="118"/>
      <c r="AG21" s="118"/>
    </row>
    <row r="22" spans="1:33" ht="15.75" customHeight="1" thickTop="1" thickBot="1" x14ac:dyDescent="0.3">
      <c r="A22" s="64">
        <v>7</v>
      </c>
      <c r="B22" s="258">
        <v>0</v>
      </c>
      <c r="C22" s="259">
        <v>40</v>
      </c>
      <c r="D22" s="258">
        <v>20</v>
      </c>
      <c r="E22" s="249">
        <v>6000</v>
      </c>
      <c r="F22" s="249">
        <v>11000</v>
      </c>
      <c r="G22" s="249">
        <v>5000</v>
      </c>
      <c r="H22" s="249">
        <v>1000</v>
      </c>
      <c r="I22" s="249">
        <v>5</v>
      </c>
      <c r="J22" s="249"/>
      <c r="K22" s="249"/>
      <c r="L22" s="264"/>
      <c r="M22" s="179">
        <v>23065</v>
      </c>
      <c r="N22" s="244">
        <v>300</v>
      </c>
      <c r="O22" s="245">
        <v>5000</v>
      </c>
      <c r="P22" s="181">
        <v>28365</v>
      </c>
      <c r="Q22" s="217">
        <v>33869.293391045081</v>
      </c>
      <c r="R22" s="176"/>
      <c r="S22" s="218">
        <v>0</v>
      </c>
      <c r="T22" s="252">
        <v>1</v>
      </c>
      <c r="U22" s="219">
        <v>1.1940522965289999</v>
      </c>
      <c r="V22" s="176"/>
      <c r="W22" s="173">
        <v>33868.099338748551</v>
      </c>
      <c r="X22" s="217">
        <v>17379.690124722838</v>
      </c>
      <c r="Y22" s="176"/>
      <c r="Z22" s="220">
        <v>-100</v>
      </c>
      <c r="AA22" s="221">
        <v>7.6624621808290003</v>
      </c>
      <c r="AB22" s="221">
        <v>-28036.504111784572</v>
      </c>
      <c r="AC22" s="222">
        <v>-28128.841649603743</v>
      </c>
      <c r="AD22" s="221">
        <v>-5062.7817372829595</v>
      </c>
      <c r="AE22" s="223">
        <v>-12054.603999284958</v>
      </c>
      <c r="AF22" s="118"/>
      <c r="AG22" s="118"/>
    </row>
    <row r="23" spans="1:33" ht="15.75" customHeight="1" thickTop="1" thickBot="1" x14ac:dyDescent="0.3">
      <c r="A23" s="64">
        <v>8</v>
      </c>
      <c r="B23" s="258">
        <v>0</v>
      </c>
      <c r="C23" s="259">
        <v>40</v>
      </c>
      <c r="D23" s="258">
        <v>20</v>
      </c>
      <c r="E23" s="249">
        <v>6000</v>
      </c>
      <c r="F23" s="249">
        <v>11000</v>
      </c>
      <c r="G23" s="249">
        <v>3000</v>
      </c>
      <c r="H23" s="249">
        <v>1000</v>
      </c>
      <c r="I23" s="249">
        <v>5</v>
      </c>
      <c r="J23" s="249"/>
      <c r="K23" s="249"/>
      <c r="L23" s="264"/>
      <c r="M23" s="179">
        <v>21065</v>
      </c>
      <c r="N23" s="244">
        <v>300</v>
      </c>
      <c r="O23" s="245">
        <v>5000</v>
      </c>
      <c r="P23" s="181">
        <v>26365</v>
      </c>
      <c r="Q23" s="217">
        <v>32425.624461926698</v>
      </c>
      <c r="R23" s="176"/>
      <c r="S23" s="218">
        <v>0</v>
      </c>
      <c r="T23" s="252">
        <v>1</v>
      </c>
      <c r="U23" s="219">
        <v>1.22987386542487</v>
      </c>
      <c r="V23" s="176"/>
      <c r="W23" s="173">
        <v>32424.394588061274</v>
      </c>
      <c r="X23" s="217">
        <v>15126.219374163114</v>
      </c>
      <c r="Y23" s="176"/>
      <c r="Z23" s="220">
        <v>-140</v>
      </c>
      <c r="AA23" s="221">
        <v>8.8923360462538703</v>
      </c>
      <c r="AB23" s="221">
        <v>-36337.12857371127</v>
      </c>
      <c r="AC23" s="222">
        <v>-36468.23623766502</v>
      </c>
      <c r="AD23" s="221">
        <v>-2754.9174585517103</v>
      </c>
      <c r="AE23" s="223">
        <v>-14809.521457836669</v>
      </c>
      <c r="AF23" s="118"/>
      <c r="AG23" s="118"/>
    </row>
    <row r="24" spans="1:33" ht="15.75" customHeight="1" thickTop="1" thickBot="1" x14ac:dyDescent="0.3">
      <c r="A24" s="64">
        <v>9</v>
      </c>
      <c r="B24" s="258">
        <v>0</v>
      </c>
      <c r="C24" s="259">
        <v>40</v>
      </c>
      <c r="D24" s="258">
        <v>20</v>
      </c>
      <c r="E24" s="249">
        <v>6000</v>
      </c>
      <c r="F24" s="249">
        <v>11000</v>
      </c>
      <c r="G24" s="249">
        <v>3000</v>
      </c>
      <c r="H24" s="249">
        <v>1000</v>
      </c>
      <c r="I24" s="249">
        <v>5</v>
      </c>
      <c r="J24" s="249"/>
      <c r="K24" s="249"/>
      <c r="L24" s="264"/>
      <c r="M24" s="179">
        <v>21065</v>
      </c>
      <c r="N24" s="244">
        <v>300</v>
      </c>
      <c r="O24" s="245">
        <v>5000</v>
      </c>
      <c r="P24" s="181">
        <v>26365</v>
      </c>
      <c r="Q24" s="217">
        <v>33398.393195784491</v>
      </c>
      <c r="R24" s="176"/>
      <c r="S24" s="218">
        <v>0</v>
      </c>
      <c r="T24" s="252">
        <v>1</v>
      </c>
      <c r="U24" s="219">
        <v>1.2667700813876159</v>
      </c>
      <c r="V24" s="176"/>
      <c r="W24" s="173">
        <v>33397.1264257031</v>
      </c>
      <c r="X24" s="217">
        <v>14163.641777625457</v>
      </c>
      <c r="Y24" s="176"/>
      <c r="Z24" s="220">
        <v>-180</v>
      </c>
      <c r="AA24" s="221">
        <v>10.159106127641486</v>
      </c>
      <c r="AB24" s="221">
        <v>-45610.521769495761</v>
      </c>
      <c r="AC24" s="222">
        <v>-45780.36266336812</v>
      </c>
      <c r="AD24" s="221">
        <v>-2837.5649823082531</v>
      </c>
      <c r="AE24" s="223">
        <v>-17647.086440144922</v>
      </c>
      <c r="AF24" s="118"/>
      <c r="AG24" s="118"/>
    </row>
    <row r="25" spans="1:33" ht="15.75" customHeight="1" thickTop="1" thickBot="1" x14ac:dyDescent="0.3">
      <c r="A25" s="64">
        <v>10</v>
      </c>
      <c r="B25" s="258">
        <v>0</v>
      </c>
      <c r="C25" s="259">
        <v>40</v>
      </c>
      <c r="D25" s="258">
        <v>20</v>
      </c>
      <c r="E25" s="249">
        <v>6000</v>
      </c>
      <c r="F25" s="249">
        <v>11000</v>
      </c>
      <c r="G25" s="249">
        <v>3000</v>
      </c>
      <c r="H25" s="249">
        <v>1000</v>
      </c>
      <c r="I25" s="249">
        <v>5</v>
      </c>
      <c r="J25" s="249"/>
      <c r="K25" s="249"/>
      <c r="L25" s="264"/>
      <c r="M25" s="179">
        <v>21065</v>
      </c>
      <c r="N25" s="244">
        <v>300</v>
      </c>
      <c r="O25" s="245">
        <v>5000</v>
      </c>
      <c r="P25" s="181">
        <v>26365</v>
      </c>
      <c r="Q25" s="217">
        <v>34400.344991658028</v>
      </c>
      <c r="R25" s="176"/>
      <c r="S25" s="218">
        <v>0</v>
      </c>
      <c r="T25" s="252">
        <v>1</v>
      </c>
      <c r="U25" s="219">
        <v>1.3047731838292445</v>
      </c>
      <c r="V25" s="176"/>
      <c r="W25" s="173">
        <v>34399.040218474198</v>
      </c>
      <c r="X25" s="217">
        <v>13262.319119049291</v>
      </c>
      <c r="Y25" s="176"/>
      <c r="Z25" s="220">
        <v>-220</v>
      </c>
      <c r="AA25" s="221">
        <v>11.46387931147073</v>
      </c>
      <c r="AB25" s="221">
        <v>-55885.866761153789</v>
      </c>
      <c r="AC25" s="222">
        <v>-56094.402881842318</v>
      </c>
      <c r="AD25" s="221">
        <v>-2922.6919317775064</v>
      </c>
      <c r="AE25" s="223">
        <v>-20569.778371922428</v>
      </c>
      <c r="AF25" s="118"/>
      <c r="AG25" s="118"/>
    </row>
    <row r="26" spans="1:33" ht="15.75" customHeight="1" thickTop="1" thickBot="1" x14ac:dyDescent="0.3">
      <c r="A26" s="64"/>
      <c r="B26" s="258"/>
      <c r="C26" s="259"/>
      <c r="D26" s="258"/>
      <c r="E26" s="249"/>
      <c r="F26" s="249"/>
      <c r="G26" s="249"/>
      <c r="H26" s="249"/>
      <c r="I26" s="249"/>
      <c r="J26" s="249"/>
      <c r="K26" s="249"/>
      <c r="L26" s="264"/>
      <c r="M26" s="179">
        <v>0</v>
      </c>
      <c r="N26" s="244"/>
      <c r="O26" s="245"/>
      <c r="P26" s="181">
        <v>0</v>
      </c>
      <c r="Q26" s="217">
        <v>0</v>
      </c>
      <c r="R26" s="176"/>
      <c r="S26" s="218">
        <v>0</v>
      </c>
      <c r="T26" s="252"/>
      <c r="U26" s="219">
        <v>0</v>
      </c>
      <c r="V26" s="176"/>
      <c r="W26" s="173">
        <v>0</v>
      </c>
      <c r="X26" s="217">
        <v>0</v>
      </c>
      <c r="Y26" s="176"/>
      <c r="Z26" s="220">
        <v>0</v>
      </c>
      <c r="AA26" s="221">
        <v>0</v>
      </c>
      <c r="AB26" s="221">
        <v>0</v>
      </c>
      <c r="AC26" s="222">
        <v>0</v>
      </c>
      <c r="AD26" s="221">
        <v>0</v>
      </c>
      <c r="AE26" s="223">
        <v>0</v>
      </c>
      <c r="AF26" s="118"/>
      <c r="AG26" s="118"/>
    </row>
    <row r="27" spans="1:33" ht="15.75" customHeight="1" thickTop="1" thickBot="1" x14ac:dyDescent="0.3">
      <c r="A27" s="64"/>
      <c r="B27" s="258"/>
      <c r="C27" s="259"/>
      <c r="D27" s="258"/>
      <c r="E27" s="249"/>
      <c r="F27" s="249"/>
      <c r="G27" s="249"/>
      <c r="H27" s="249"/>
      <c r="I27" s="249"/>
      <c r="J27" s="249"/>
      <c r="K27" s="249"/>
      <c r="L27" s="264"/>
      <c r="M27" s="179">
        <v>0</v>
      </c>
      <c r="N27" s="244"/>
      <c r="O27" s="245"/>
      <c r="P27" s="181">
        <v>0</v>
      </c>
      <c r="Q27" s="217">
        <v>0</v>
      </c>
      <c r="R27" s="176"/>
      <c r="S27" s="218">
        <v>0</v>
      </c>
      <c r="T27" s="252"/>
      <c r="U27" s="219">
        <v>0</v>
      </c>
      <c r="V27" s="176"/>
      <c r="W27" s="173">
        <v>0</v>
      </c>
      <c r="X27" s="217">
        <v>0</v>
      </c>
      <c r="Y27" s="176"/>
      <c r="Z27" s="220">
        <v>0</v>
      </c>
      <c r="AA27" s="221">
        <v>0</v>
      </c>
      <c r="AB27" s="221">
        <v>0</v>
      </c>
      <c r="AC27" s="222">
        <v>0</v>
      </c>
      <c r="AD27" s="221">
        <v>0</v>
      </c>
      <c r="AE27" s="223">
        <v>0</v>
      </c>
      <c r="AF27" s="62"/>
      <c r="AG27" s="62"/>
    </row>
    <row r="28" spans="1:33" ht="15.75" customHeight="1" thickTop="1" thickBot="1" x14ac:dyDescent="0.3">
      <c r="A28" s="64"/>
      <c r="B28" s="258"/>
      <c r="C28" s="259"/>
      <c r="D28" s="258"/>
      <c r="E28" s="249"/>
      <c r="F28" s="249"/>
      <c r="G28" s="249"/>
      <c r="H28" s="249"/>
      <c r="I28" s="249"/>
      <c r="J28" s="249"/>
      <c r="K28" s="249"/>
      <c r="L28" s="264"/>
      <c r="M28" s="179">
        <v>0</v>
      </c>
      <c r="N28" s="244"/>
      <c r="O28" s="245"/>
      <c r="P28" s="181">
        <v>0</v>
      </c>
      <c r="Q28" s="217">
        <v>0</v>
      </c>
      <c r="R28" s="176"/>
      <c r="S28" s="218">
        <v>0</v>
      </c>
      <c r="T28" s="252"/>
      <c r="U28" s="219">
        <v>0</v>
      </c>
      <c r="V28" s="176"/>
      <c r="W28" s="173">
        <v>0</v>
      </c>
      <c r="X28" s="217">
        <v>0</v>
      </c>
      <c r="Y28" s="176"/>
      <c r="Z28" s="220">
        <v>0</v>
      </c>
      <c r="AA28" s="221">
        <v>0</v>
      </c>
      <c r="AB28" s="221">
        <v>0</v>
      </c>
      <c r="AC28" s="222">
        <v>0</v>
      </c>
      <c r="AD28" s="221">
        <v>0</v>
      </c>
      <c r="AE28" s="223">
        <v>0</v>
      </c>
      <c r="AF28" s="118"/>
      <c r="AG28" s="118"/>
    </row>
    <row r="29" spans="1:33" ht="15.75" customHeight="1" thickTop="1" thickBot="1" x14ac:dyDescent="0.3">
      <c r="A29" s="64"/>
      <c r="B29" s="258"/>
      <c r="C29" s="259"/>
      <c r="D29" s="258"/>
      <c r="E29" s="249"/>
      <c r="F29" s="249"/>
      <c r="G29" s="249"/>
      <c r="H29" s="249"/>
      <c r="I29" s="249"/>
      <c r="J29" s="249"/>
      <c r="K29" s="249"/>
      <c r="L29" s="264"/>
      <c r="M29" s="179">
        <v>0</v>
      </c>
      <c r="N29" s="244"/>
      <c r="O29" s="245"/>
      <c r="P29" s="181">
        <v>0</v>
      </c>
      <c r="Q29" s="217">
        <v>0</v>
      </c>
      <c r="R29" s="176"/>
      <c r="S29" s="218">
        <v>0</v>
      </c>
      <c r="T29" s="252"/>
      <c r="U29" s="219">
        <v>0</v>
      </c>
      <c r="V29" s="176"/>
      <c r="W29" s="173">
        <v>0</v>
      </c>
      <c r="X29" s="217">
        <v>0</v>
      </c>
      <c r="Y29" s="176"/>
      <c r="Z29" s="220">
        <v>0</v>
      </c>
      <c r="AA29" s="221">
        <v>0</v>
      </c>
      <c r="AB29" s="221">
        <v>0</v>
      </c>
      <c r="AC29" s="222">
        <v>0</v>
      </c>
      <c r="AD29" s="221">
        <v>0</v>
      </c>
      <c r="AE29" s="223">
        <v>0</v>
      </c>
      <c r="AF29" s="118"/>
      <c r="AG29" s="118"/>
    </row>
    <row r="30" spans="1:33" ht="15.75" customHeight="1" thickTop="1" thickBot="1" x14ac:dyDescent="0.3">
      <c r="A30" s="64"/>
      <c r="B30" s="258"/>
      <c r="C30" s="259"/>
      <c r="D30" s="258"/>
      <c r="E30" s="249"/>
      <c r="F30" s="249"/>
      <c r="G30" s="249"/>
      <c r="H30" s="249"/>
      <c r="I30" s="249"/>
      <c r="J30" s="249"/>
      <c r="K30" s="249"/>
      <c r="L30" s="264"/>
      <c r="M30" s="179">
        <v>0</v>
      </c>
      <c r="N30" s="244"/>
      <c r="O30" s="245"/>
      <c r="P30" s="181">
        <v>0</v>
      </c>
      <c r="Q30" s="217">
        <v>0</v>
      </c>
      <c r="R30" s="176"/>
      <c r="S30" s="218">
        <v>0</v>
      </c>
      <c r="T30" s="252"/>
      <c r="U30" s="219">
        <v>0</v>
      </c>
      <c r="V30" s="176"/>
      <c r="W30" s="173">
        <v>0</v>
      </c>
      <c r="X30" s="217">
        <v>0</v>
      </c>
      <c r="Y30" s="176"/>
      <c r="Z30" s="220">
        <v>0</v>
      </c>
      <c r="AA30" s="221">
        <v>0</v>
      </c>
      <c r="AB30" s="221">
        <v>0</v>
      </c>
      <c r="AC30" s="222">
        <v>0</v>
      </c>
      <c r="AD30" s="221">
        <v>0</v>
      </c>
      <c r="AE30" s="223">
        <v>0</v>
      </c>
      <c r="AF30" s="118"/>
      <c r="AG30" s="118"/>
    </row>
    <row r="31" spans="1:33" ht="15.75" customHeight="1" thickTop="1" thickBot="1" x14ac:dyDescent="0.3">
      <c r="A31" s="64"/>
      <c r="B31" s="258"/>
      <c r="C31" s="259"/>
      <c r="D31" s="258"/>
      <c r="E31" s="249"/>
      <c r="F31" s="249"/>
      <c r="G31" s="249"/>
      <c r="H31" s="249"/>
      <c r="I31" s="249"/>
      <c r="J31" s="249"/>
      <c r="K31" s="249"/>
      <c r="L31" s="264"/>
      <c r="M31" s="179">
        <v>0</v>
      </c>
      <c r="N31" s="244"/>
      <c r="O31" s="245"/>
      <c r="P31" s="181">
        <v>0</v>
      </c>
      <c r="Q31" s="217">
        <v>0</v>
      </c>
      <c r="R31" s="176"/>
      <c r="S31" s="218">
        <v>0</v>
      </c>
      <c r="T31" s="252"/>
      <c r="U31" s="219">
        <v>0</v>
      </c>
      <c r="V31" s="176"/>
      <c r="W31" s="173">
        <v>0</v>
      </c>
      <c r="X31" s="217">
        <v>0</v>
      </c>
      <c r="Y31" s="176"/>
      <c r="Z31" s="220">
        <v>0</v>
      </c>
      <c r="AA31" s="221">
        <v>0</v>
      </c>
      <c r="AB31" s="221">
        <v>0</v>
      </c>
      <c r="AC31" s="222">
        <v>0</v>
      </c>
      <c r="AD31" s="221">
        <v>0</v>
      </c>
      <c r="AE31" s="223">
        <v>0</v>
      </c>
      <c r="AF31" s="62"/>
      <c r="AG31" s="62"/>
    </row>
    <row r="32" spans="1:33" ht="15.75" customHeight="1" thickTop="1" thickBot="1" x14ac:dyDescent="0.3">
      <c r="A32" s="64"/>
      <c r="B32" s="258"/>
      <c r="C32" s="259"/>
      <c r="D32" s="258"/>
      <c r="E32" s="249"/>
      <c r="F32" s="249"/>
      <c r="G32" s="249"/>
      <c r="H32" s="249"/>
      <c r="I32" s="249"/>
      <c r="J32" s="249"/>
      <c r="K32" s="249"/>
      <c r="L32" s="264"/>
      <c r="M32" s="179">
        <v>0</v>
      </c>
      <c r="N32" s="244"/>
      <c r="O32" s="245"/>
      <c r="P32" s="181">
        <v>0</v>
      </c>
      <c r="Q32" s="217">
        <v>0</v>
      </c>
      <c r="R32" s="176"/>
      <c r="S32" s="218">
        <v>0</v>
      </c>
      <c r="T32" s="252"/>
      <c r="U32" s="219">
        <v>0</v>
      </c>
      <c r="V32" s="176"/>
      <c r="W32" s="173">
        <v>0</v>
      </c>
      <c r="X32" s="217">
        <v>0</v>
      </c>
      <c r="Y32" s="176"/>
      <c r="Z32" s="220">
        <v>0</v>
      </c>
      <c r="AA32" s="221">
        <v>0</v>
      </c>
      <c r="AB32" s="221">
        <v>0</v>
      </c>
      <c r="AC32" s="222">
        <v>0</v>
      </c>
      <c r="AD32" s="221">
        <v>0</v>
      </c>
      <c r="AE32" s="223">
        <v>0</v>
      </c>
      <c r="AF32" s="85"/>
      <c r="AG32" s="85"/>
    </row>
    <row r="33" spans="1:33" ht="15.75" customHeight="1" thickTop="1" thickBot="1" x14ac:dyDescent="0.3">
      <c r="A33" s="64"/>
      <c r="B33" s="258"/>
      <c r="C33" s="259"/>
      <c r="D33" s="258"/>
      <c r="E33" s="249"/>
      <c r="F33" s="249"/>
      <c r="G33" s="249"/>
      <c r="H33" s="249"/>
      <c r="I33" s="249"/>
      <c r="J33" s="249"/>
      <c r="K33" s="249"/>
      <c r="L33" s="264"/>
      <c r="M33" s="179">
        <v>0</v>
      </c>
      <c r="N33" s="244"/>
      <c r="O33" s="245"/>
      <c r="P33" s="181">
        <v>0</v>
      </c>
      <c r="Q33" s="217">
        <v>0</v>
      </c>
      <c r="R33" s="176"/>
      <c r="S33" s="218">
        <v>0</v>
      </c>
      <c r="T33" s="252"/>
      <c r="U33" s="219">
        <v>0</v>
      </c>
      <c r="V33" s="176"/>
      <c r="W33" s="173">
        <v>0</v>
      </c>
      <c r="X33" s="217">
        <v>0</v>
      </c>
      <c r="Y33" s="176"/>
      <c r="Z33" s="220">
        <v>0</v>
      </c>
      <c r="AA33" s="221">
        <v>0</v>
      </c>
      <c r="AB33" s="221">
        <v>0</v>
      </c>
      <c r="AC33" s="222">
        <v>0</v>
      </c>
      <c r="AD33" s="221">
        <v>0</v>
      </c>
      <c r="AE33" s="223">
        <v>0</v>
      </c>
      <c r="AF33" s="118"/>
      <c r="AG33" s="118"/>
    </row>
    <row r="34" spans="1:33" ht="15.75" customHeight="1" thickTop="1" thickBot="1" x14ac:dyDescent="0.3">
      <c r="A34" s="64"/>
      <c r="B34" s="258"/>
      <c r="C34" s="259"/>
      <c r="D34" s="258"/>
      <c r="E34" s="249"/>
      <c r="F34" s="249"/>
      <c r="G34" s="249"/>
      <c r="H34" s="249"/>
      <c r="I34" s="249"/>
      <c r="J34" s="249"/>
      <c r="K34" s="249"/>
      <c r="L34" s="264"/>
      <c r="M34" s="179">
        <v>0</v>
      </c>
      <c r="N34" s="244"/>
      <c r="O34" s="245"/>
      <c r="P34" s="181">
        <v>0</v>
      </c>
      <c r="Q34" s="217">
        <v>0</v>
      </c>
      <c r="R34" s="176"/>
      <c r="S34" s="218">
        <v>0</v>
      </c>
      <c r="T34" s="252"/>
      <c r="U34" s="219">
        <v>0</v>
      </c>
      <c r="V34" s="176"/>
      <c r="W34" s="173">
        <v>0</v>
      </c>
      <c r="X34" s="217">
        <v>0</v>
      </c>
      <c r="Y34" s="176"/>
      <c r="Z34" s="220">
        <v>0</v>
      </c>
      <c r="AA34" s="221">
        <v>0</v>
      </c>
      <c r="AB34" s="221">
        <v>0</v>
      </c>
      <c r="AC34" s="222">
        <v>0</v>
      </c>
      <c r="AD34" s="221">
        <v>0</v>
      </c>
      <c r="AE34" s="223">
        <v>0</v>
      </c>
      <c r="AF34" s="62"/>
      <c r="AG34" s="62"/>
    </row>
    <row r="35" spans="1:33" ht="15.75" customHeight="1" thickTop="1" thickBot="1" x14ac:dyDescent="0.3">
      <c r="A35" s="64"/>
      <c r="B35" s="258"/>
      <c r="C35" s="259"/>
      <c r="D35" s="258"/>
      <c r="E35" s="249"/>
      <c r="F35" s="249"/>
      <c r="G35" s="249"/>
      <c r="H35" s="249"/>
      <c r="I35" s="249"/>
      <c r="J35" s="249"/>
      <c r="K35" s="249"/>
      <c r="L35" s="264"/>
      <c r="M35" s="179">
        <v>0</v>
      </c>
      <c r="N35" s="244"/>
      <c r="O35" s="245"/>
      <c r="P35" s="181">
        <v>0</v>
      </c>
      <c r="Q35" s="217">
        <v>0</v>
      </c>
      <c r="R35" s="176"/>
      <c r="S35" s="218">
        <v>0</v>
      </c>
      <c r="T35" s="252"/>
      <c r="U35" s="219">
        <v>0</v>
      </c>
      <c r="V35" s="176"/>
      <c r="W35" s="173">
        <v>0</v>
      </c>
      <c r="X35" s="217">
        <v>0</v>
      </c>
      <c r="Y35" s="176"/>
      <c r="Z35" s="220">
        <v>0</v>
      </c>
      <c r="AA35" s="221">
        <v>0</v>
      </c>
      <c r="AB35" s="221">
        <v>0</v>
      </c>
      <c r="AC35" s="222">
        <v>0</v>
      </c>
      <c r="AD35" s="221">
        <v>0</v>
      </c>
      <c r="AE35" s="223">
        <v>0</v>
      </c>
      <c r="AF35" s="62"/>
      <c r="AG35" s="62"/>
    </row>
    <row r="36" spans="1:33" ht="15.75" customHeight="1" thickTop="1" thickBot="1" x14ac:dyDescent="0.3">
      <c r="A36" s="64"/>
      <c r="B36" s="258"/>
      <c r="C36" s="259"/>
      <c r="D36" s="258"/>
      <c r="E36" s="249"/>
      <c r="F36" s="249"/>
      <c r="G36" s="249"/>
      <c r="H36" s="249"/>
      <c r="I36" s="249"/>
      <c r="J36" s="249"/>
      <c r="K36" s="249"/>
      <c r="L36" s="264"/>
      <c r="M36" s="179">
        <v>0</v>
      </c>
      <c r="N36" s="244"/>
      <c r="O36" s="245"/>
      <c r="P36" s="181">
        <v>0</v>
      </c>
      <c r="Q36" s="217">
        <v>0</v>
      </c>
      <c r="R36" s="176"/>
      <c r="S36" s="218">
        <v>0</v>
      </c>
      <c r="T36" s="252"/>
      <c r="U36" s="219">
        <v>0</v>
      </c>
      <c r="V36" s="176"/>
      <c r="W36" s="173">
        <v>0</v>
      </c>
      <c r="X36" s="217">
        <v>0</v>
      </c>
      <c r="Y36" s="176"/>
      <c r="Z36" s="220">
        <v>0</v>
      </c>
      <c r="AA36" s="221">
        <v>0</v>
      </c>
      <c r="AB36" s="221">
        <v>0</v>
      </c>
      <c r="AC36" s="222">
        <v>0</v>
      </c>
      <c r="AD36" s="221">
        <v>0</v>
      </c>
      <c r="AE36" s="223">
        <v>0</v>
      </c>
      <c r="AF36" s="62"/>
      <c r="AG36" s="62"/>
    </row>
    <row r="37" spans="1:33" ht="15.75" customHeight="1" thickTop="1" thickBot="1" x14ac:dyDescent="0.3">
      <c r="A37" s="64"/>
      <c r="B37" s="258"/>
      <c r="C37" s="259"/>
      <c r="D37" s="258"/>
      <c r="E37" s="249"/>
      <c r="F37" s="249"/>
      <c r="G37" s="249"/>
      <c r="H37" s="249"/>
      <c r="I37" s="249"/>
      <c r="J37" s="249"/>
      <c r="K37" s="249"/>
      <c r="L37" s="264"/>
      <c r="M37" s="179">
        <v>0</v>
      </c>
      <c r="N37" s="244"/>
      <c r="O37" s="245"/>
      <c r="P37" s="181">
        <v>0</v>
      </c>
      <c r="Q37" s="217">
        <v>0</v>
      </c>
      <c r="R37" s="176"/>
      <c r="S37" s="218">
        <v>0</v>
      </c>
      <c r="T37" s="252"/>
      <c r="U37" s="219">
        <v>0</v>
      </c>
      <c r="V37" s="176"/>
      <c r="W37" s="173">
        <v>0</v>
      </c>
      <c r="X37" s="217">
        <v>0</v>
      </c>
      <c r="Y37" s="176"/>
      <c r="Z37" s="220">
        <v>0</v>
      </c>
      <c r="AA37" s="221">
        <v>0</v>
      </c>
      <c r="AB37" s="221">
        <v>0</v>
      </c>
      <c r="AC37" s="222">
        <v>0</v>
      </c>
      <c r="AD37" s="221">
        <v>0</v>
      </c>
      <c r="AE37" s="223">
        <v>0</v>
      </c>
      <c r="AF37" s="62"/>
      <c r="AG37" s="62"/>
    </row>
    <row r="38" spans="1:33" ht="15.75" customHeight="1" thickTop="1" thickBot="1" x14ac:dyDescent="0.3">
      <c r="A38" s="64"/>
      <c r="B38" s="258"/>
      <c r="C38" s="259"/>
      <c r="D38" s="258"/>
      <c r="E38" s="249"/>
      <c r="F38" s="249"/>
      <c r="G38" s="249"/>
      <c r="H38" s="249"/>
      <c r="I38" s="249"/>
      <c r="J38" s="249"/>
      <c r="K38" s="249"/>
      <c r="L38" s="264"/>
      <c r="M38" s="179">
        <v>0</v>
      </c>
      <c r="N38" s="244"/>
      <c r="O38" s="245"/>
      <c r="P38" s="181">
        <v>0</v>
      </c>
      <c r="Q38" s="217">
        <v>0</v>
      </c>
      <c r="R38" s="176"/>
      <c r="S38" s="218">
        <v>0</v>
      </c>
      <c r="T38" s="252"/>
      <c r="U38" s="219">
        <v>0</v>
      </c>
      <c r="V38" s="176"/>
      <c r="W38" s="173">
        <v>0</v>
      </c>
      <c r="X38" s="217">
        <v>0</v>
      </c>
      <c r="Y38" s="176"/>
      <c r="Z38" s="220">
        <v>0</v>
      </c>
      <c r="AA38" s="221">
        <v>0</v>
      </c>
      <c r="AB38" s="221">
        <v>0</v>
      </c>
      <c r="AC38" s="222">
        <v>0</v>
      </c>
      <c r="AD38" s="221">
        <v>0</v>
      </c>
      <c r="AE38" s="223">
        <v>0</v>
      </c>
      <c r="AF38" s="62"/>
      <c r="AG38" s="62"/>
    </row>
    <row r="39" spans="1:33" ht="15.75" customHeight="1" thickTop="1" thickBot="1" x14ac:dyDescent="0.3">
      <c r="A39" s="64"/>
      <c r="B39" s="258"/>
      <c r="C39" s="259"/>
      <c r="D39" s="258"/>
      <c r="E39" s="249"/>
      <c r="F39" s="249"/>
      <c r="G39" s="249"/>
      <c r="H39" s="249"/>
      <c r="I39" s="249"/>
      <c r="J39" s="249"/>
      <c r="K39" s="249"/>
      <c r="L39" s="264"/>
      <c r="M39" s="179">
        <v>0</v>
      </c>
      <c r="N39" s="244"/>
      <c r="O39" s="245"/>
      <c r="P39" s="181">
        <v>0</v>
      </c>
      <c r="Q39" s="217">
        <v>0</v>
      </c>
      <c r="R39" s="176"/>
      <c r="S39" s="218">
        <v>0</v>
      </c>
      <c r="T39" s="252"/>
      <c r="U39" s="219">
        <v>0</v>
      </c>
      <c r="V39" s="176"/>
      <c r="W39" s="173">
        <v>0</v>
      </c>
      <c r="X39" s="217">
        <v>0</v>
      </c>
      <c r="Y39" s="176"/>
      <c r="Z39" s="220">
        <v>0</v>
      </c>
      <c r="AA39" s="221">
        <v>0</v>
      </c>
      <c r="AB39" s="221">
        <v>0</v>
      </c>
      <c r="AC39" s="222">
        <v>0</v>
      </c>
      <c r="AD39" s="221">
        <v>0</v>
      </c>
      <c r="AE39" s="223">
        <v>0</v>
      </c>
      <c r="AF39" s="62"/>
      <c r="AG39" s="62"/>
    </row>
    <row r="40" spans="1:33" ht="15.75" customHeight="1" thickTop="1" thickBot="1" x14ac:dyDescent="0.3">
      <c r="A40" s="64"/>
      <c r="B40" s="258"/>
      <c r="C40" s="259"/>
      <c r="D40" s="258"/>
      <c r="E40" s="249"/>
      <c r="F40" s="249"/>
      <c r="G40" s="249"/>
      <c r="H40" s="249"/>
      <c r="I40" s="249"/>
      <c r="J40" s="249"/>
      <c r="K40" s="249"/>
      <c r="L40" s="264"/>
      <c r="M40" s="179">
        <v>0</v>
      </c>
      <c r="N40" s="244"/>
      <c r="O40" s="245"/>
      <c r="P40" s="181">
        <v>0</v>
      </c>
      <c r="Q40" s="217">
        <v>0</v>
      </c>
      <c r="R40" s="176"/>
      <c r="S40" s="218">
        <v>0</v>
      </c>
      <c r="T40" s="252"/>
      <c r="U40" s="219">
        <v>0</v>
      </c>
      <c r="V40" s="176"/>
      <c r="W40" s="173">
        <v>0</v>
      </c>
      <c r="X40" s="217">
        <v>0</v>
      </c>
      <c r="Y40" s="176"/>
      <c r="Z40" s="220">
        <v>0</v>
      </c>
      <c r="AA40" s="221">
        <v>0</v>
      </c>
      <c r="AB40" s="221">
        <v>0</v>
      </c>
      <c r="AC40" s="222">
        <v>0</v>
      </c>
      <c r="AD40" s="221">
        <v>0</v>
      </c>
      <c r="AE40" s="223">
        <v>0</v>
      </c>
      <c r="AF40" s="62"/>
      <c r="AG40" s="62"/>
    </row>
    <row r="41" spans="1:33" ht="15.75" customHeight="1" thickTop="1" thickBot="1" x14ac:dyDescent="0.3">
      <c r="A41" s="63"/>
      <c r="B41" s="258"/>
      <c r="C41" s="259"/>
      <c r="D41" s="258"/>
      <c r="E41" s="249"/>
      <c r="F41" s="249"/>
      <c r="G41" s="249"/>
      <c r="H41" s="249"/>
      <c r="I41" s="249"/>
      <c r="J41" s="249"/>
      <c r="K41" s="249"/>
      <c r="L41" s="264"/>
      <c r="M41" s="179">
        <v>0</v>
      </c>
      <c r="N41" s="244"/>
      <c r="O41" s="245"/>
      <c r="P41" s="181">
        <v>0</v>
      </c>
      <c r="Q41" s="217">
        <v>0</v>
      </c>
      <c r="R41" s="176"/>
      <c r="S41" s="218">
        <v>0</v>
      </c>
      <c r="T41" s="252"/>
      <c r="U41" s="219">
        <v>0</v>
      </c>
      <c r="V41" s="176"/>
      <c r="W41" s="174">
        <v>0</v>
      </c>
      <c r="X41" s="217">
        <v>0</v>
      </c>
      <c r="Y41" s="176"/>
      <c r="Z41" s="220">
        <v>0</v>
      </c>
      <c r="AA41" s="221">
        <v>0</v>
      </c>
      <c r="AB41" s="221">
        <v>0</v>
      </c>
      <c r="AC41" s="222">
        <v>0</v>
      </c>
      <c r="AD41" s="221">
        <v>0</v>
      </c>
      <c r="AE41" s="223">
        <v>0</v>
      </c>
      <c r="AF41" s="62"/>
      <c r="AG41" s="62"/>
    </row>
    <row r="42" spans="1:33" ht="15.75" customHeight="1" thickTop="1" thickBot="1" x14ac:dyDescent="0.3">
      <c r="A42" s="63"/>
      <c r="B42" s="258"/>
      <c r="C42" s="259"/>
      <c r="D42" s="258"/>
      <c r="E42" s="249"/>
      <c r="F42" s="249"/>
      <c r="G42" s="249"/>
      <c r="H42" s="249"/>
      <c r="I42" s="249"/>
      <c r="J42" s="249"/>
      <c r="K42" s="249"/>
      <c r="L42" s="264"/>
      <c r="M42" s="180">
        <v>0</v>
      </c>
      <c r="N42" s="244"/>
      <c r="O42" s="245"/>
      <c r="P42" s="181">
        <v>0</v>
      </c>
      <c r="Q42" s="217">
        <v>0</v>
      </c>
      <c r="R42" s="176"/>
      <c r="S42" s="218">
        <v>0</v>
      </c>
      <c r="T42" s="252"/>
      <c r="U42" s="219">
        <v>0</v>
      </c>
      <c r="V42" s="176"/>
      <c r="W42" s="174">
        <v>0</v>
      </c>
      <c r="X42" s="217">
        <v>0</v>
      </c>
      <c r="Y42" s="176"/>
      <c r="Z42" s="220">
        <v>0</v>
      </c>
      <c r="AA42" s="221">
        <v>0</v>
      </c>
      <c r="AB42" s="221">
        <v>0</v>
      </c>
      <c r="AC42" s="222">
        <v>0</v>
      </c>
      <c r="AD42" s="221">
        <v>0</v>
      </c>
      <c r="AE42" s="223">
        <v>0</v>
      </c>
      <c r="AF42" s="62"/>
      <c r="AG42" s="62"/>
    </row>
    <row r="43" spans="1:33" ht="15.75" customHeight="1" thickTop="1" thickBot="1" x14ac:dyDescent="0.3">
      <c r="A43" s="63"/>
      <c r="B43" s="258"/>
      <c r="C43" s="259"/>
      <c r="D43" s="258"/>
      <c r="E43" s="249"/>
      <c r="F43" s="249"/>
      <c r="G43" s="249"/>
      <c r="H43" s="249"/>
      <c r="I43" s="249"/>
      <c r="J43" s="249"/>
      <c r="K43" s="249"/>
      <c r="L43" s="264"/>
      <c r="M43" s="180">
        <v>0</v>
      </c>
      <c r="N43" s="244"/>
      <c r="O43" s="245"/>
      <c r="P43" s="181">
        <v>0</v>
      </c>
      <c r="Q43" s="217">
        <v>0</v>
      </c>
      <c r="R43" s="176"/>
      <c r="S43" s="218">
        <v>0</v>
      </c>
      <c r="T43" s="252"/>
      <c r="U43" s="219">
        <v>0</v>
      </c>
      <c r="V43" s="176"/>
      <c r="W43" s="174">
        <v>0</v>
      </c>
      <c r="X43" s="217">
        <v>0</v>
      </c>
      <c r="Y43" s="176"/>
      <c r="Z43" s="220">
        <v>0</v>
      </c>
      <c r="AA43" s="221">
        <v>0</v>
      </c>
      <c r="AB43" s="221">
        <v>0</v>
      </c>
      <c r="AC43" s="222">
        <v>0</v>
      </c>
      <c r="AD43" s="221">
        <v>0</v>
      </c>
      <c r="AE43" s="223">
        <v>0</v>
      </c>
      <c r="AF43" s="62"/>
      <c r="AG43" s="62"/>
    </row>
    <row r="44" spans="1:33" ht="15.75" customHeight="1" thickTop="1" thickBot="1" x14ac:dyDescent="0.3">
      <c r="A44" s="63"/>
      <c r="B44" s="258"/>
      <c r="C44" s="259"/>
      <c r="D44" s="258"/>
      <c r="E44" s="249"/>
      <c r="F44" s="249"/>
      <c r="G44" s="249"/>
      <c r="H44" s="249"/>
      <c r="I44" s="249"/>
      <c r="J44" s="249"/>
      <c r="K44" s="249"/>
      <c r="L44" s="264"/>
      <c r="M44" s="180">
        <v>0</v>
      </c>
      <c r="N44" s="244"/>
      <c r="O44" s="245"/>
      <c r="P44" s="181">
        <v>0</v>
      </c>
      <c r="Q44" s="217">
        <v>0</v>
      </c>
      <c r="R44" s="176"/>
      <c r="S44" s="218">
        <v>0</v>
      </c>
      <c r="T44" s="252"/>
      <c r="U44" s="219">
        <v>0</v>
      </c>
      <c r="V44" s="176"/>
      <c r="W44" s="174">
        <v>0</v>
      </c>
      <c r="X44" s="217">
        <v>0</v>
      </c>
      <c r="Y44" s="176"/>
      <c r="Z44" s="220">
        <v>0</v>
      </c>
      <c r="AA44" s="221">
        <v>0</v>
      </c>
      <c r="AB44" s="221">
        <v>0</v>
      </c>
      <c r="AC44" s="222">
        <v>0</v>
      </c>
      <c r="AD44" s="221">
        <v>0</v>
      </c>
      <c r="AE44" s="223">
        <v>0</v>
      </c>
      <c r="AF44" s="62"/>
      <c r="AG44" s="62"/>
    </row>
    <row r="45" spans="1:33" ht="15.75" customHeight="1" thickTop="1" thickBot="1" x14ac:dyDescent="0.3">
      <c r="A45" s="63"/>
      <c r="B45" s="260"/>
      <c r="C45" s="261"/>
      <c r="D45" s="260"/>
      <c r="E45" s="265"/>
      <c r="F45" s="265"/>
      <c r="G45" s="265"/>
      <c r="H45" s="265"/>
      <c r="I45" s="265"/>
      <c r="J45" s="265"/>
      <c r="K45" s="265"/>
      <c r="L45" s="266"/>
      <c r="M45" s="183">
        <v>0</v>
      </c>
      <c r="N45" s="246"/>
      <c r="O45" s="247"/>
      <c r="P45" s="184">
        <v>0</v>
      </c>
      <c r="Q45" s="224">
        <v>0</v>
      </c>
      <c r="R45" s="176"/>
      <c r="S45" s="234">
        <v>0</v>
      </c>
      <c r="T45" s="253"/>
      <c r="U45" s="235">
        <v>0</v>
      </c>
      <c r="V45" s="176"/>
      <c r="W45" s="226">
        <v>0</v>
      </c>
      <c r="X45" s="224">
        <v>0</v>
      </c>
      <c r="Y45" s="176"/>
      <c r="Z45" s="225">
        <v>0</v>
      </c>
      <c r="AA45" s="227">
        <v>0</v>
      </c>
      <c r="AB45" s="227">
        <v>0</v>
      </c>
      <c r="AC45" s="228">
        <v>0</v>
      </c>
      <c r="AD45" s="227">
        <v>0</v>
      </c>
      <c r="AE45" s="229">
        <v>0</v>
      </c>
      <c r="AF45" s="62"/>
      <c r="AG45" s="62"/>
    </row>
  </sheetData>
  <sheetProtection algorithmName="SHA-512" hashValue="Gp0z/OzK3JE/0d95KYcm3AW3GHoEzHX7TQj2qus5FXKHgXKLGGAb4RojVCQT8/eJ825wCyeCuyTriYMwRP6ewg==" saltValue="ZWbFBtNQMBMXiPedUWwaKQ==" spinCount="100000" sheet="1" objects="1" scenarios="1" formatCells="0" formatColumns="0" formatRows="0"/>
  <mergeCells count="8">
    <mergeCell ref="S13:U13"/>
    <mergeCell ref="W13:Y13"/>
    <mergeCell ref="Z13:AE13"/>
    <mergeCell ref="I3:J3"/>
    <mergeCell ref="I4:J4"/>
    <mergeCell ref="I5:J5"/>
    <mergeCell ref="I7:J7"/>
    <mergeCell ref="B13:Q13"/>
  </mergeCells>
  <pageMargins left="0.7" right="0.7" top="0.75" bottom="0.75" header="0" footer="0"/>
  <pageSetup orientation="landscape"/>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4125"/>
    <outlinePr summaryBelow="0" summaryRight="0"/>
  </sheetPr>
  <dimension ref="A1:AG45"/>
  <sheetViews>
    <sheetView showGridLines="0" showRowColHeaders="0" zoomScale="90" zoomScaleNormal="90" workbookViewId="0">
      <selection activeCell="G33" sqref="G33"/>
    </sheetView>
  </sheetViews>
  <sheetFormatPr defaultColWidth="14.44140625" defaultRowHeight="15" customHeight="1" x14ac:dyDescent="0.25"/>
  <cols>
    <col min="1" max="1" width="5.88671875" customWidth="1"/>
    <col min="2" max="2" width="11.33203125" customWidth="1"/>
    <col min="3" max="3" width="10.88671875" customWidth="1"/>
    <col min="4" max="4" width="9" customWidth="1"/>
    <col min="5" max="5" width="11.33203125" customWidth="1"/>
    <col min="6" max="6" width="10.88671875" customWidth="1"/>
    <col min="7" max="7" width="10.109375" customWidth="1"/>
    <col min="8" max="8" width="11.44140625" customWidth="1"/>
    <col min="9" max="9" width="9.44140625" customWidth="1"/>
    <col min="10" max="12" width="6.33203125" customWidth="1"/>
    <col min="13" max="13" width="13.5546875" customWidth="1"/>
    <col min="14" max="14" width="11.109375" customWidth="1"/>
    <col min="15" max="15" width="12.88671875" customWidth="1"/>
    <col min="16" max="16" width="14.109375" customWidth="1"/>
    <col min="17" max="17" width="12" customWidth="1"/>
    <col min="18" max="18" width="2" customWidth="1"/>
    <col min="19" max="19" width="11.44140625" customWidth="1"/>
    <col min="20" max="20" width="9.33203125" customWidth="1"/>
    <col min="21" max="21" width="12.88671875" customWidth="1"/>
    <col min="22" max="22" width="2" customWidth="1"/>
    <col min="23" max="23" width="13.33203125" customWidth="1"/>
    <col min="24" max="24" width="13.109375" customWidth="1"/>
    <col min="25" max="25" width="2" customWidth="1"/>
  </cols>
  <sheetData>
    <row r="1" spans="1:33" ht="13.2" x14ac:dyDescent="0.25">
      <c r="A1" s="61"/>
      <c r="B1" s="132" t="s">
        <v>49</v>
      </c>
      <c r="C1" s="133"/>
      <c r="D1" s="133"/>
      <c r="E1" s="187"/>
      <c r="F1" s="61"/>
      <c r="G1" s="61"/>
      <c r="H1" s="61"/>
      <c r="I1" s="61"/>
      <c r="J1" s="61"/>
      <c r="K1" s="61"/>
      <c r="L1" s="61"/>
      <c r="M1" s="61"/>
      <c r="N1" s="188"/>
      <c r="O1" s="188"/>
      <c r="P1" s="188"/>
      <c r="Q1" s="61"/>
      <c r="R1" s="61"/>
      <c r="S1" s="61"/>
      <c r="T1" s="61"/>
      <c r="U1" s="62"/>
      <c r="V1" s="61"/>
      <c r="W1" s="62"/>
      <c r="X1" s="62"/>
      <c r="Y1" s="62"/>
      <c r="Z1" s="62"/>
      <c r="AA1" s="62"/>
      <c r="AB1" s="62"/>
      <c r="AC1" s="62"/>
      <c r="AD1" s="62"/>
      <c r="AE1" s="62"/>
      <c r="AF1" s="62"/>
      <c r="AG1" s="62"/>
    </row>
    <row r="2" spans="1:33" ht="13.2" x14ac:dyDescent="0.25">
      <c r="A2" s="63"/>
      <c r="B2" s="132" t="s">
        <v>50</v>
      </c>
      <c r="C2" s="132"/>
      <c r="D2" s="132"/>
      <c r="E2" s="63"/>
      <c r="F2" s="63"/>
      <c r="G2" s="63"/>
      <c r="H2" s="63"/>
      <c r="I2" s="63"/>
      <c r="J2" s="63"/>
      <c r="K2" s="63"/>
      <c r="L2" s="63"/>
      <c r="M2" s="63"/>
      <c r="N2" s="64"/>
      <c r="O2" s="64"/>
      <c r="P2" s="64"/>
      <c r="Q2" s="63"/>
      <c r="R2" s="63"/>
      <c r="S2" s="63"/>
      <c r="T2" s="63"/>
      <c r="U2" s="62"/>
      <c r="V2" s="63"/>
      <c r="W2" s="62"/>
      <c r="X2" s="62"/>
      <c r="Y2" s="62"/>
      <c r="Z2" s="62"/>
      <c r="AA2" s="62"/>
      <c r="AB2" s="62"/>
      <c r="AC2" s="62"/>
      <c r="AD2" s="62"/>
      <c r="AE2" s="62"/>
      <c r="AF2" s="62"/>
      <c r="AG2" s="62"/>
    </row>
    <row r="3" spans="1:33" ht="13.2" x14ac:dyDescent="0.25">
      <c r="A3" s="65"/>
      <c r="B3" s="134"/>
      <c r="C3" s="135" t="s">
        <v>14</v>
      </c>
      <c r="D3" s="136">
        <f>DR</f>
        <v>0.1</v>
      </c>
      <c r="F3" s="137"/>
      <c r="G3" s="138"/>
      <c r="H3" s="16" t="str">
        <f>SP&amp;" Year Undiscounted Costs:"</f>
        <v>10 Year Undiscounted Costs:</v>
      </c>
      <c r="I3" s="300">
        <f>SUM(W16:W45)</f>
        <v>210943.07372831189</v>
      </c>
      <c r="J3" s="301"/>
      <c r="K3" s="62"/>
      <c r="N3" s="189" t="s">
        <v>19</v>
      </c>
      <c r="O3" s="190" t="s">
        <v>32</v>
      </c>
      <c r="P3" s="191" t="s">
        <v>33</v>
      </c>
      <c r="R3" s="62"/>
      <c r="S3" s="62"/>
      <c r="T3" s="62"/>
      <c r="U3" s="62"/>
      <c r="V3" s="62"/>
      <c r="W3" s="62"/>
      <c r="X3" s="62"/>
      <c r="Y3" s="62"/>
      <c r="Z3" s="62"/>
      <c r="AA3" s="62"/>
      <c r="AB3" s="62"/>
      <c r="AC3" s="62"/>
      <c r="AD3" s="62"/>
      <c r="AE3" s="62"/>
      <c r="AF3" s="62"/>
      <c r="AG3" s="62"/>
    </row>
    <row r="4" spans="1:33" ht="13.2" x14ac:dyDescent="0.25">
      <c r="A4" s="65"/>
      <c r="B4" s="140"/>
      <c r="C4" s="141" t="s">
        <v>16</v>
      </c>
      <c r="D4" s="142">
        <f>Inf</f>
        <v>0.03</v>
      </c>
      <c r="F4" s="143"/>
      <c r="G4" s="144"/>
      <c r="H4" s="141" t="str">
        <f>"NPV Alt 5 "&amp;SP&amp;" Year Total:"</f>
        <v>NPV Alt 5 10 Year Total:</v>
      </c>
      <c r="I4" s="302">
        <f>SUM(X16:X45)</f>
        <v>169321.73175530662</v>
      </c>
      <c r="J4" s="303"/>
      <c r="K4" s="62"/>
      <c r="N4" s="231">
        <f>IFERROR((P8/P9)-1,"-")</f>
        <v>38.064538180838902</v>
      </c>
      <c r="O4" s="193" cm="1">
        <f t="array" ref="O4">INDEX(A:A,INDEX(_xlfn._xlws.FILTER(ROW(AE16:AE45),AE16:AE45&gt;1),1),1)</f>
        <v>2</v>
      </c>
      <c r="P4" s="194">
        <f>IFERROR(P11/P9,"-")</f>
        <v>39.064538180838902</v>
      </c>
      <c r="R4" s="62"/>
      <c r="S4" s="62"/>
      <c r="T4" s="62"/>
      <c r="U4" s="62"/>
      <c r="V4" s="62"/>
      <c r="W4" s="62"/>
      <c r="X4" s="62"/>
      <c r="Y4" s="62"/>
      <c r="Z4" s="62"/>
      <c r="AA4" s="62"/>
      <c r="AB4" s="62"/>
      <c r="AC4" s="62"/>
      <c r="AD4" s="62"/>
      <c r="AE4" s="62"/>
      <c r="AF4" s="62"/>
      <c r="AG4" s="62"/>
    </row>
    <row r="5" spans="1:33" ht="13.2" x14ac:dyDescent="0.25">
      <c r="A5" s="65"/>
      <c r="B5" s="140"/>
      <c r="C5" s="141" t="s">
        <v>15</v>
      </c>
      <c r="D5" s="232">
        <f>SP</f>
        <v>10</v>
      </c>
      <c r="F5" s="148"/>
      <c r="G5" s="149"/>
      <c r="H5" s="150" t="s">
        <v>51</v>
      </c>
      <c r="I5" s="304">
        <f t="array" ref="I5">NPV(DR,W16:W45)</f>
        <v>92262.707938480962</v>
      </c>
      <c r="J5" s="305"/>
      <c r="K5" s="62"/>
      <c r="L5" s="62"/>
      <c r="M5" s="62"/>
      <c r="N5" s="62"/>
      <c r="R5" s="62"/>
      <c r="S5" s="62"/>
      <c r="T5" s="62"/>
      <c r="U5" s="62"/>
      <c r="V5" s="62"/>
      <c r="W5" s="62"/>
      <c r="X5" s="62"/>
      <c r="Y5" s="62"/>
      <c r="Z5" s="62"/>
      <c r="AA5" s="62"/>
      <c r="AB5" s="62"/>
      <c r="AC5" s="62"/>
      <c r="AD5" s="62"/>
      <c r="AE5" s="62"/>
      <c r="AF5" s="62"/>
      <c r="AG5" s="62"/>
    </row>
    <row r="6" spans="1:33" ht="13.2" x14ac:dyDescent="0.25">
      <c r="A6" s="65"/>
      <c r="B6" s="151"/>
      <c r="C6" s="150" t="s">
        <v>52</v>
      </c>
      <c r="D6" s="240">
        <v>0.5</v>
      </c>
      <c r="F6" s="85"/>
      <c r="I6" s="85"/>
      <c r="J6" s="86"/>
      <c r="K6" s="62"/>
      <c r="L6" s="62"/>
      <c r="M6" s="134"/>
      <c r="N6" s="195"/>
      <c r="O6" s="16" t="s">
        <v>78</v>
      </c>
      <c r="P6" s="241">
        <v>0</v>
      </c>
      <c r="R6" s="62"/>
      <c r="S6" s="62"/>
      <c r="T6" s="62"/>
      <c r="U6" s="62"/>
      <c r="V6" s="62"/>
      <c r="W6" s="62"/>
      <c r="X6" s="62"/>
      <c r="Y6" s="62"/>
      <c r="Z6" s="62"/>
      <c r="AA6" s="62"/>
      <c r="AB6" s="62"/>
      <c r="AC6" s="62"/>
      <c r="AD6" s="62"/>
      <c r="AE6" s="62"/>
      <c r="AF6" s="62"/>
      <c r="AG6" s="62"/>
    </row>
    <row r="7" spans="1:33" ht="13.2" x14ac:dyDescent="0.25">
      <c r="A7" s="65"/>
      <c r="B7" s="85"/>
      <c r="C7" s="196"/>
      <c r="D7" s="85"/>
      <c r="E7" s="85"/>
      <c r="F7" s="85"/>
      <c r="G7" s="197"/>
      <c r="H7" s="198" t="s">
        <v>79</v>
      </c>
      <c r="I7" s="307">
        <f t="array" ref="I7">NPV(DR,U16:U45)</f>
        <v>1597.2935389257075</v>
      </c>
      <c r="J7" s="308"/>
      <c r="K7" s="62"/>
      <c r="L7" s="62"/>
      <c r="M7" s="140"/>
      <c r="O7" s="141" t="s">
        <v>80</v>
      </c>
      <c r="P7" s="199">
        <f t="array" ref="P7">INDEX(A16:AE45,MATCH(SP,A16:A45,0),31)</f>
        <v>160258.1527233556</v>
      </c>
      <c r="Q7" s="200" t="s">
        <v>81</v>
      </c>
      <c r="R7" s="62"/>
      <c r="T7" s="62"/>
      <c r="U7" s="62"/>
      <c r="V7" s="62"/>
      <c r="W7" s="62"/>
      <c r="X7" s="62"/>
      <c r="Y7" s="62"/>
      <c r="Z7" s="62"/>
      <c r="AA7" s="62"/>
      <c r="AB7" s="62"/>
      <c r="AC7" s="62"/>
      <c r="AD7" s="62"/>
      <c r="AE7" s="62"/>
      <c r="AF7" s="62"/>
      <c r="AG7" s="62"/>
    </row>
    <row r="8" spans="1:33" ht="13.2" x14ac:dyDescent="0.25">
      <c r="A8" s="65"/>
      <c r="B8" s="85"/>
      <c r="C8" s="85"/>
      <c r="D8" s="85"/>
      <c r="E8" s="85"/>
      <c r="F8" s="85"/>
      <c r="G8" s="85"/>
      <c r="H8" s="85"/>
      <c r="I8" s="85"/>
      <c r="J8" s="86"/>
      <c r="K8" s="62"/>
      <c r="L8" s="62"/>
      <c r="M8" s="140"/>
      <c r="O8" s="141" t="s">
        <v>82</v>
      </c>
      <c r="P8" s="199">
        <f>P7-P6-P9</f>
        <v>156258.1527233556</v>
      </c>
      <c r="Q8" s="200" t="s">
        <v>83</v>
      </c>
      <c r="R8" s="62"/>
      <c r="T8" s="62"/>
      <c r="U8" s="62"/>
      <c r="V8" s="62"/>
      <c r="W8" s="62"/>
      <c r="X8" s="62"/>
      <c r="Y8" s="62"/>
      <c r="Z8" s="62"/>
      <c r="AA8" s="62"/>
      <c r="AB8" s="62"/>
      <c r="AC8" s="62"/>
      <c r="AD8" s="62"/>
      <c r="AE8" s="62"/>
      <c r="AF8" s="62"/>
      <c r="AG8" s="62"/>
    </row>
    <row r="9" spans="1:33" ht="13.2" x14ac:dyDescent="0.25">
      <c r="A9" s="65"/>
      <c r="B9" s="85"/>
      <c r="C9" s="85"/>
      <c r="D9" s="85"/>
      <c r="E9" s="85"/>
      <c r="F9" s="85"/>
      <c r="G9" s="85"/>
      <c r="H9" s="85"/>
      <c r="I9" s="85"/>
      <c r="J9" s="86"/>
      <c r="K9" s="62"/>
      <c r="L9" s="62"/>
      <c r="M9" s="140"/>
      <c r="O9" s="141" t="s">
        <v>84</v>
      </c>
      <c r="P9" s="199">
        <f t="array" ref="P9">INDEX(A16:AE45,MATCH(SP,A16:A45,0),26)*-1</f>
        <v>4000</v>
      </c>
      <c r="Q9" s="200" t="s">
        <v>85</v>
      </c>
      <c r="R9" s="62"/>
      <c r="T9" s="62"/>
      <c r="U9" s="62"/>
      <c r="V9" s="62"/>
      <c r="W9" s="62"/>
      <c r="X9" s="62"/>
      <c r="Y9" s="62"/>
      <c r="Z9" s="62"/>
      <c r="AA9" s="62"/>
      <c r="AB9" s="62"/>
      <c r="AC9" s="62"/>
      <c r="AD9" s="62"/>
      <c r="AE9" s="62"/>
      <c r="AF9" s="62"/>
      <c r="AG9" s="62"/>
    </row>
    <row r="10" spans="1:33" ht="13.2" x14ac:dyDescent="0.25">
      <c r="A10" s="65"/>
      <c r="B10" s="85"/>
      <c r="C10" s="85"/>
      <c r="D10" s="85"/>
      <c r="E10" s="85"/>
      <c r="F10" s="85"/>
      <c r="G10" s="85"/>
      <c r="H10" s="85"/>
      <c r="I10" s="85"/>
      <c r="J10" s="86"/>
      <c r="K10" s="62"/>
      <c r="L10" s="62"/>
      <c r="M10" s="140"/>
      <c r="O10" s="141" t="s">
        <v>86</v>
      </c>
      <c r="P10" s="199">
        <f>D6*P9</f>
        <v>2000</v>
      </c>
      <c r="Q10" s="200" t="s">
        <v>87</v>
      </c>
      <c r="R10" s="62"/>
      <c r="T10" s="62"/>
      <c r="U10" s="62"/>
      <c r="V10" s="62"/>
      <c r="W10" s="62"/>
      <c r="X10" s="62"/>
      <c r="Y10" s="62"/>
      <c r="Z10" s="62"/>
      <c r="AA10" s="62"/>
      <c r="AB10" s="62"/>
      <c r="AC10" s="62"/>
      <c r="AD10" s="62"/>
      <c r="AE10" s="62"/>
      <c r="AF10" s="62"/>
      <c r="AG10" s="62"/>
    </row>
    <row r="11" spans="1:33" ht="13.2" x14ac:dyDescent="0.25">
      <c r="A11" s="65"/>
      <c r="B11" s="85"/>
      <c r="C11" s="85"/>
      <c r="D11" s="85"/>
      <c r="E11" s="85"/>
      <c r="F11" s="85"/>
      <c r="G11" s="85"/>
      <c r="H11" s="85"/>
      <c r="I11" s="85"/>
      <c r="J11" s="85"/>
      <c r="K11" s="85"/>
      <c r="L11" s="85"/>
      <c r="M11" s="201"/>
      <c r="N11" s="202"/>
      <c r="O11" s="150" t="s">
        <v>88</v>
      </c>
      <c r="P11" s="203">
        <f>P8</f>
        <v>156258.1527233556</v>
      </c>
      <c r="Q11" s="200" t="s">
        <v>89</v>
      </c>
      <c r="R11" s="11"/>
      <c r="T11" s="62"/>
      <c r="U11" s="62"/>
      <c r="V11" s="62"/>
      <c r="W11" s="62"/>
      <c r="X11" s="62"/>
      <c r="Y11" s="62"/>
      <c r="Z11" s="62"/>
      <c r="AA11" s="62"/>
      <c r="AB11" s="62"/>
      <c r="AC11" s="62"/>
      <c r="AD11" s="62"/>
      <c r="AE11" s="62"/>
      <c r="AF11" s="62"/>
      <c r="AG11" s="62"/>
    </row>
    <row r="12" spans="1:33" ht="13.2" x14ac:dyDescent="0.25">
      <c r="A12" s="65"/>
      <c r="B12" s="85"/>
      <c r="C12" s="85"/>
      <c r="D12" s="85"/>
      <c r="E12" s="85"/>
      <c r="F12" s="85"/>
      <c r="G12" s="85"/>
      <c r="H12" s="85"/>
      <c r="I12" s="85"/>
      <c r="J12" s="85"/>
      <c r="K12" s="85"/>
      <c r="L12" s="85"/>
      <c r="M12" s="86"/>
      <c r="N12" s="62"/>
      <c r="O12" s="62"/>
      <c r="P12" s="62"/>
      <c r="Q12" s="62"/>
      <c r="R12" s="62"/>
      <c r="S12" s="62"/>
      <c r="T12" s="62"/>
      <c r="U12" s="62"/>
      <c r="V12" s="62"/>
      <c r="W12" s="62"/>
      <c r="X12" s="62"/>
      <c r="Y12" s="62"/>
      <c r="Z12" s="62"/>
      <c r="AA12" s="62"/>
      <c r="AB12" s="62"/>
      <c r="AC12" s="62"/>
      <c r="AD12" s="62"/>
      <c r="AE12" s="62"/>
      <c r="AF12" s="62"/>
      <c r="AG12" s="62"/>
    </row>
    <row r="13" spans="1:33" ht="13.8" x14ac:dyDescent="0.25">
      <c r="A13" s="65"/>
      <c r="B13" s="306" t="s">
        <v>53</v>
      </c>
      <c r="C13" s="277"/>
      <c r="D13" s="277"/>
      <c r="E13" s="277"/>
      <c r="F13" s="277"/>
      <c r="G13" s="277"/>
      <c r="H13" s="277"/>
      <c r="I13" s="277"/>
      <c r="J13" s="277"/>
      <c r="K13" s="277"/>
      <c r="L13" s="277"/>
      <c r="M13" s="277"/>
      <c r="N13" s="277"/>
      <c r="O13" s="277"/>
      <c r="P13" s="277"/>
      <c r="Q13" s="277"/>
      <c r="R13" s="154"/>
      <c r="S13" s="297" t="s">
        <v>54</v>
      </c>
      <c r="T13" s="277"/>
      <c r="U13" s="277"/>
      <c r="V13" s="64"/>
      <c r="W13" s="297" t="s">
        <v>55</v>
      </c>
      <c r="X13" s="277"/>
      <c r="Y13" s="277"/>
      <c r="Z13" s="297" t="s">
        <v>32</v>
      </c>
      <c r="AA13" s="277"/>
      <c r="AB13" s="277"/>
      <c r="AC13" s="277"/>
      <c r="AD13" s="277"/>
      <c r="AE13" s="277"/>
      <c r="AF13" s="62"/>
      <c r="AG13" s="62"/>
    </row>
    <row r="14" spans="1:33" ht="13.2" x14ac:dyDescent="0.25">
      <c r="A14" s="103"/>
      <c r="B14" s="155"/>
      <c r="C14" s="156" t="s">
        <v>56</v>
      </c>
      <c r="D14" s="141"/>
      <c r="E14" s="157"/>
      <c r="F14" s="64"/>
      <c r="G14" s="64"/>
      <c r="H14" s="154"/>
      <c r="I14" s="64"/>
      <c r="J14" s="64"/>
      <c r="K14" s="64"/>
      <c r="L14" s="64"/>
      <c r="M14" s="156" t="s">
        <v>57</v>
      </c>
      <c r="N14" s="64"/>
      <c r="O14" s="64"/>
      <c r="P14" s="103"/>
      <c r="Q14" s="103"/>
      <c r="R14" s="105"/>
      <c r="S14" s="24"/>
      <c r="T14" s="158" t="s">
        <v>90</v>
      </c>
      <c r="U14" s="24"/>
      <c r="V14" s="105"/>
      <c r="W14" s="105"/>
      <c r="X14" s="105"/>
      <c r="Y14" s="105"/>
      <c r="Z14" s="105"/>
      <c r="AA14" s="105"/>
      <c r="AB14" s="204"/>
      <c r="AC14" s="204"/>
      <c r="AD14" s="105"/>
      <c r="AE14" s="105"/>
      <c r="AF14" s="105"/>
      <c r="AG14" s="105"/>
    </row>
    <row r="15" spans="1:33" ht="63.75" customHeight="1" x14ac:dyDescent="0.25">
      <c r="A15" s="159" t="s">
        <v>46</v>
      </c>
      <c r="B15" s="205" t="s">
        <v>59</v>
      </c>
      <c r="C15" s="206" t="s">
        <v>60</v>
      </c>
      <c r="D15" s="207" t="s">
        <v>61</v>
      </c>
      <c r="E15" s="208" t="s">
        <v>62</v>
      </c>
      <c r="F15" s="209" t="s">
        <v>63</v>
      </c>
      <c r="G15" s="209" t="s">
        <v>64</v>
      </c>
      <c r="H15" s="208" t="s">
        <v>65</v>
      </c>
      <c r="I15" s="209" t="s">
        <v>66</v>
      </c>
      <c r="J15" s="208" t="s">
        <v>67</v>
      </c>
      <c r="K15" s="208" t="s">
        <v>67</v>
      </c>
      <c r="L15" s="210" t="s">
        <v>67</v>
      </c>
      <c r="M15" s="211" t="s">
        <v>91</v>
      </c>
      <c r="N15" s="212" t="s">
        <v>69</v>
      </c>
      <c r="O15" s="213" t="s">
        <v>70</v>
      </c>
      <c r="P15" s="214" t="s">
        <v>92</v>
      </c>
      <c r="Q15" s="206" t="s">
        <v>93</v>
      </c>
      <c r="R15" s="169"/>
      <c r="S15" s="215" t="s">
        <v>73</v>
      </c>
      <c r="T15" s="208" t="s">
        <v>74</v>
      </c>
      <c r="U15" s="216" t="s">
        <v>94</v>
      </c>
      <c r="V15" s="169"/>
      <c r="W15" s="215" t="s">
        <v>76</v>
      </c>
      <c r="X15" s="206" t="s">
        <v>95</v>
      </c>
      <c r="Y15" s="172"/>
      <c r="Z15" s="205" t="s">
        <v>96</v>
      </c>
      <c r="AA15" s="208" t="s">
        <v>97</v>
      </c>
      <c r="AB15" s="208" t="s">
        <v>98</v>
      </c>
      <c r="AC15" s="210" t="s">
        <v>99</v>
      </c>
      <c r="AD15" s="208" t="s">
        <v>100</v>
      </c>
      <c r="AE15" s="206" t="s">
        <v>101</v>
      </c>
      <c r="AF15" s="172"/>
      <c r="AG15" s="172"/>
    </row>
    <row r="16" spans="1:33" ht="15.75" customHeight="1" thickBot="1" x14ac:dyDescent="0.3">
      <c r="A16" s="64" cm="1">
        <f t="array" ref="A16:A25">_xlfn.SEQUENCE(SP)</f>
        <v>1</v>
      </c>
      <c r="B16" s="256">
        <v>1000</v>
      </c>
      <c r="C16" s="257">
        <v>0</v>
      </c>
      <c r="D16" s="256">
        <v>20</v>
      </c>
      <c r="E16" s="262">
        <v>5000</v>
      </c>
      <c r="F16" s="262">
        <v>10000</v>
      </c>
      <c r="G16" s="262">
        <v>3000</v>
      </c>
      <c r="H16" s="262">
        <v>1000</v>
      </c>
      <c r="I16" s="262">
        <v>5</v>
      </c>
      <c r="J16" s="262"/>
      <c r="K16" s="262"/>
      <c r="L16" s="263"/>
      <c r="M16" s="179">
        <f t="array" ref="M16:M45">B16:B45+C16:C45+D16:D45+E16:E45+F16:F45+G16:G45+H16:H45+I16:I45+J16:J45+K16:K45+L16:L45</f>
        <v>20025</v>
      </c>
      <c r="N16" s="242">
        <v>100</v>
      </c>
      <c r="O16" s="243">
        <v>5000</v>
      </c>
      <c r="P16" s="181">
        <f t="array" ref="P16:P45">M16:M45+N16:N45+O16:O45</f>
        <v>25125</v>
      </c>
      <c r="Q16" s="217">
        <f t="array" ref="Q16:Q45">P16:P45*((1+Inf)^(A16:A45-1))</f>
        <v>25125</v>
      </c>
      <c r="R16" s="176"/>
      <c r="S16" s="218">
        <f t="array" ref="S16:S45">B16:B45*$D$6</f>
        <v>500</v>
      </c>
      <c r="T16" s="251">
        <v>1</v>
      </c>
      <c r="U16" s="219">
        <f t="array" ref="U16:U45">(S16:S45+T16:T45)*((1+Inf)^(A16:A45-1))</f>
        <v>501</v>
      </c>
      <c r="V16" s="176"/>
      <c r="W16" s="173">
        <f t="array" ref="W16:W45">Q16:Q45-U16:U45</f>
        <v>24624</v>
      </c>
      <c r="X16" s="217">
        <f t="array" ref="X16:X45">W16:W45/(1+DR)^A16:A45</f>
        <v>22385.454545454544</v>
      </c>
      <c r="Y16" s="176"/>
      <c r="Z16" s="220">
        <f t="array" ref="Z16:Z45">IF(A16:A45&lt;&gt;"",(MMULT(1*(TRANSPOSE(ROW(B16:C45))&lt;=ROW(B16:C45)),-(B16:B45+C16:C45))),0)</f>
        <v>-1000</v>
      </c>
      <c r="AA16" s="221">
        <f t="array" ref="AA16:AA45">IF(A16:A45&lt;&gt;"",(MMULT(1*(TRANSPOSE(ROW(U16:U45))&lt;=ROW(U16:U45)),U16:U45)),0)</f>
        <v>501</v>
      </c>
      <c r="AB16" s="221">
        <f t="array" ref="AB16:AB45">IF(A16:A45&lt;&gt;"",(MMULT(1*(TRANSPOSE(ROW(Q16:Q45))&lt;=ROW(Q16:Q45)),Q16-Q16:Q45)),0)</f>
        <v>0</v>
      </c>
      <c r="AC16" s="222">
        <f t="array" ref="AC16:AC45">IF(A16:A45&lt;&gt;"",Z16:Z45+AA16:AA45+AB16:AB45,0)</f>
        <v>-499</v>
      </c>
      <c r="AD16" s="221">
        <f t="array" ref="AD16:AD45">IF(A16:A45&lt;&gt;"",'SQ Mgmt'!W12:W41-W16:W45,0)</f>
        <v>-500</v>
      </c>
      <c r="AE16" s="223">
        <f t="array" ref="AE16:AE45">IF(A16:A45&lt;&gt;"",(MMULT(1*(TRANSPOSE(ROW(AD16:AD45))&lt;=ROW(AD16:AD45)),AD16:AD45)),0)</f>
        <v>-500</v>
      </c>
      <c r="AF16" s="62"/>
      <c r="AG16" s="62"/>
    </row>
    <row r="17" spans="1:33" ht="15.75" customHeight="1" thickTop="1" thickBot="1" x14ac:dyDescent="0.3">
      <c r="A17" s="64">
        <v>2</v>
      </c>
      <c r="B17" s="258"/>
      <c r="C17" s="259"/>
      <c r="D17" s="258"/>
      <c r="E17" s="249"/>
      <c r="F17" s="249"/>
      <c r="G17" s="249"/>
      <c r="H17" s="249"/>
      <c r="I17" s="249"/>
      <c r="J17" s="249"/>
      <c r="K17" s="249"/>
      <c r="L17" s="264"/>
      <c r="M17" s="179">
        <v>0</v>
      </c>
      <c r="N17" s="244"/>
      <c r="O17" s="245"/>
      <c r="P17" s="181">
        <v>0</v>
      </c>
      <c r="Q17" s="217">
        <v>0</v>
      </c>
      <c r="R17" s="176"/>
      <c r="S17" s="218">
        <v>0</v>
      </c>
      <c r="T17" s="252"/>
      <c r="U17" s="219">
        <v>0</v>
      </c>
      <c r="V17" s="176"/>
      <c r="W17" s="173">
        <v>0</v>
      </c>
      <c r="X17" s="217">
        <v>0</v>
      </c>
      <c r="Y17" s="176"/>
      <c r="Z17" s="220">
        <v>-1000</v>
      </c>
      <c r="AA17" s="221">
        <v>501</v>
      </c>
      <c r="AB17" s="221">
        <v>25125</v>
      </c>
      <c r="AC17" s="222">
        <v>24626</v>
      </c>
      <c r="AD17" s="221">
        <v>24847.72</v>
      </c>
      <c r="AE17" s="223">
        <v>24347.72</v>
      </c>
      <c r="AF17" s="118"/>
      <c r="AG17" s="118"/>
    </row>
    <row r="18" spans="1:33" ht="15.75" customHeight="1" thickTop="1" thickBot="1" x14ac:dyDescent="0.3">
      <c r="A18" s="64">
        <v>3</v>
      </c>
      <c r="B18" s="258">
        <v>1000</v>
      </c>
      <c r="C18" s="259">
        <v>0</v>
      </c>
      <c r="D18" s="258">
        <v>20</v>
      </c>
      <c r="E18" s="249">
        <v>7000</v>
      </c>
      <c r="F18" s="249">
        <v>7000</v>
      </c>
      <c r="G18" s="249">
        <v>6000</v>
      </c>
      <c r="H18" s="249">
        <v>1000</v>
      </c>
      <c r="I18" s="249">
        <v>5</v>
      </c>
      <c r="J18" s="249"/>
      <c r="K18" s="249"/>
      <c r="L18" s="264"/>
      <c r="M18" s="179">
        <v>22025</v>
      </c>
      <c r="N18" s="244">
        <v>100</v>
      </c>
      <c r="O18" s="245">
        <v>5000</v>
      </c>
      <c r="P18" s="181">
        <v>27125</v>
      </c>
      <c r="Q18" s="217">
        <v>28776.912499999999</v>
      </c>
      <c r="R18" s="176"/>
      <c r="S18" s="218">
        <v>500</v>
      </c>
      <c r="T18" s="252">
        <v>3</v>
      </c>
      <c r="U18" s="219">
        <v>533.6327</v>
      </c>
      <c r="V18" s="176"/>
      <c r="W18" s="173">
        <v>28243.2798</v>
      </c>
      <c r="X18" s="217">
        <v>21219.594139744546</v>
      </c>
      <c r="Y18" s="176"/>
      <c r="Z18" s="220">
        <v>-2000</v>
      </c>
      <c r="AA18" s="221">
        <v>1034.6327000000001</v>
      </c>
      <c r="AB18" s="221">
        <v>21473.087500000001</v>
      </c>
      <c r="AC18" s="222">
        <v>20507.720200000003</v>
      </c>
      <c r="AD18" s="221">
        <v>-2650.1282000000028</v>
      </c>
      <c r="AE18" s="223">
        <v>21697.591799999998</v>
      </c>
      <c r="AF18" s="118"/>
      <c r="AG18" s="118"/>
    </row>
    <row r="19" spans="1:33" ht="15.75" customHeight="1" thickTop="1" thickBot="1" x14ac:dyDescent="0.3">
      <c r="A19" s="64">
        <v>4</v>
      </c>
      <c r="B19" s="258"/>
      <c r="C19" s="259"/>
      <c r="D19" s="258"/>
      <c r="E19" s="249"/>
      <c r="F19" s="249"/>
      <c r="G19" s="249"/>
      <c r="H19" s="249"/>
      <c r="I19" s="249"/>
      <c r="J19" s="249"/>
      <c r="K19" s="249"/>
      <c r="L19" s="264"/>
      <c r="M19" s="179">
        <v>0</v>
      </c>
      <c r="N19" s="244"/>
      <c r="O19" s="245"/>
      <c r="P19" s="181">
        <v>0</v>
      </c>
      <c r="Q19" s="217">
        <v>0</v>
      </c>
      <c r="R19" s="176"/>
      <c r="S19" s="218">
        <v>0</v>
      </c>
      <c r="T19" s="252"/>
      <c r="U19" s="219">
        <v>0</v>
      </c>
      <c r="V19" s="176"/>
      <c r="W19" s="173">
        <v>0</v>
      </c>
      <c r="X19" s="217">
        <v>0</v>
      </c>
      <c r="Y19" s="176"/>
      <c r="Z19" s="220">
        <v>-2000</v>
      </c>
      <c r="AA19" s="221">
        <v>1034.6327000000001</v>
      </c>
      <c r="AB19" s="221">
        <v>46598.087500000001</v>
      </c>
      <c r="AC19" s="222">
        <v>45632.720200000003</v>
      </c>
      <c r="AD19" s="221">
        <v>26360.946147999999</v>
      </c>
      <c r="AE19" s="223">
        <v>48058.537947999997</v>
      </c>
      <c r="AF19" s="118"/>
      <c r="AG19" s="118"/>
    </row>
    <row r="20" spans="1:33" ht="15.75" customHeight="1" thickTop="1" thickBot="1" x14ac:dyDescent="0.3">
      <c r="A20" s="64">
        <v>5</v>
      </c>
      <c r="B20" s="258"/>
      <c r="C20" s="259"/>
      <c r="D20" s="258"/>
      <c r="E20" s="249"/>
      <c r="F20" s="249"/>
      <c r="G20" s="249"/>
      <c r="H20" s="249"/>
      <c r="I20" s="249"/>
      <c r="J20" s="249"/>
      <c r="K20" s="249"/>
      <c r="L20" s="264"/>
      <c r="M20" s="179">
        <v>0</v>
      </c>
      <c r="N20" s="244"/>
      <c r="O20" s="245"/>
      <c r="P20" s="181">
        <v>0</v>
      </c>
      <c r="Q20" s="217">
        <v>0</v>
      </c>
      <c r="R20" s="176"/>
      <c r="S20" s="218">
        <v>0</v>
      </c>
      <c r="T20" s="252"/>
      <c r="U20" s="219">
        <v>0</v>
      </c>
      <c r="V20" s="176"/>
      <c r="W20" s="173">
        <v>0</v>
      </c>
      <c r="X20" s="217">
        <v>0</v>
      </c>
      <c r="Y20" s="176"/>
      <c r="Z20" s="220">
        <v>-2000</v>
      </c>
      <c r="AA20" s="221">
        <v>1034.6327000000001</v>
      </c>
      <c r="AB20" s="221">
        <v>71723.087499999994</v>
      </c>
      <c r="AC20" s="222">
        <v>70757.720199999996</v>
      </c>
      <c r="AD20" s="221">
        <v>27151.774532439998</v>
      </c>
      <c r="AE20" s="223">
        <v>75210.312480439999</v>
      </c>
      <c r="AF20" s="118"/>
      <c r="AG20" s="118"/>
    </row>
    <row r="21" spans="1:33" ht="15.75" customHeight="1" thickTop="1" thickBot="1" x14ac:dyDescent="0.3">
      <c r="A21" s="64">
        <v>6</v>
      </c>
      <c r="B21" s="258">
        <v>1000</v>
      </c>
      <c r="C21" s="259">
        <v>0</v>
      </c>
      <c r="D21" s="258">
        <v>20</v>
      </c>
      <c r="E21" s="249">
        <v>5000</v>
      </c>
      <c r="F21" s="249">
        <v>9000</v>
      </c>
      <c r="G21" s="249">
        <v>5000</v>
      </c>
      <c r="H21" s="249">
        <v>1000</v>
      </c>
      <c r="I21" s="249">
        <v>5</v>
      </c>
      <c r="J21" s="249"/>
      <c r="K21" s="249"/>
      <c r="L21" s="264"/>
      <c r="M21" s="179">
        <v>21025</v>
      </c>
      <c r="N21" s="244">
        <v>100</v>
      </c>
      <c r="O21" s="245">
        <v>5000</v>
      </c>
      <c r="P21" s="181">
        <v>26125</v>
      </c>
      <c r="Q21" s="217">
        <v>30286.035191087496</v>
      </c>
      <c r="R21" s="176"/>
      <c r="S21" s="218">
        <v>500</v>
      </c>
      <c r="T21" s="252">
        <v>1</v>
      </c>
      <c r="U21" s="219">
        <v>580.79631122429987</v>
      </c>
      <c r="V21" s="176"/>
      <c r="W21" s="173">
        <v>29705.238879863195</v>
      </c>
      <c r="X21" s="217">
        <v>16767.832933702637</v>
      </c>
      <c r="Y21" s="176"/>
      <c r="Z21" s="220">
        <v>-3000</v>
      </c>
      <c r="AA21" s="221">
        <v>1615.4290112243</v>
      </c>
      <c r="AB21" s="221">
        <v>66562.052308912505</v>
      </c>
      <c r="AC21" s="222">
        <v>65177.481320136809</v>
      </c>
      <c r="AD21" s="221">
        <v>-1738.9111114499974</v>
      </c>
      <c r="AE21" s="223">
        <v>73471.401368990002</v>
      </c>
      <c r="AF21" s="118"/>
      <c r="AG21" s="118"/>
    </row>
    <row r="22" spans="1:33" ht="15.75" customHeight="1" thickTop="1" thickBot="1" x14ac:dyDescent="0.3">
      <c r="A22" s="64">
        <v>7</v>
      </c>
      <c r="B22" s="258">
        <v>0</v>
      </c>
      <c r="C22" s="259">
        <v>0</v>
      </c>
      <c r="D22" s="258"/>
      <c r="E22" s="249"/>
      <c r="F22" s="249"/>
      <c r="G22" s="249"/>
      <c r="H22" s="249"/>
      <c r="I22" s="249"/>
      <c r="J22" s="249"/>
      <c r="K22" s="249"/>
      <c r="L22" s="264"/>
      <c r="M22" s="179">
        <v>0</v>
      </c>
      <c r="N22" s="244"/>
      <c r="O22" s="245"/>
      <c r="P22" s="181">
        <v>0</v>
      </c>
      <c r="Q22" s="217">
        <v>0</v>
      </c>
      <c r="R22" s="176"/>
      <c r="S22" s="218">
        <v>0</v>
      </c>
      <c r="T22" s="252"/>
      <c r="U22" s="219">
        <v>0</v>
      </c>
      <c r="V22" s="176"/>
      <c r="W22" s="173">
        <v>0</v>
      </c>
      <c r="X22" s="217">
        <v>0</v>
      </c>
      <c r="Y22" s="176"/>
      <c r="Z22" s="220">
        <v>-3000</v>
      </c>
      <c r="AA22" s="221">
        <v>1615.4290112243</v>
      </c>
      <c r="AB22" s="221">
        <v>91687.052308912505</v>
      </c>
      <c r="AC22" s="222">
        <v>90302.481320136809</v>
      </c>
      <c r="AD22" s="221">
        <v>28805.317601465591</v>
      </c>
      <c r="AE22" s="223">
        <v>102276.71897045559</v>
      </c>
      <c r="AF22" s="118"/>
      <c r="AG22" s="118"/>
    </row>
    <row r="23" spans="1:33" ht="15.75" customHeight="1" thickTop="1" thickBot="1" x14ac:dyDescent="0.3">
      <c r="A23" s="64">
        <v>8</v>
      </c>
      <c r="B23" s="258">
        <v>0</v>
      </c>
      <c r="C23" s="259">
        <v>0</v>
      </c>
      <c r="D23" s="258"/>
      <c r="E23" s="249"/>
      <c r="F23" s="249"/>
      <c r="G23" s="249"/>
      <c r="H23" s="249"/>
      <c r="I23" s="249"/>
      <c r="J23" s="249"/>
      <c r="K23" s="249"/>
      <c r="L23" s="264"/>
      <c r="M23" s="179">
        <v>0</v>
      </c>
      <c r="N23" s="244"/>
      <c r="O23" s="245"/>
      <c r="P23" s="181">
        <v>0</v>
      </c>
      <c r="Q23" s="217">
        <v>0</v>
      </c>
      <c r="R23" s="176"/>
      <c r="S23" s="218">
        <v>0</v>
      </c>
      <c r="T23" s="252"/>
      <c r="U23" s="219">
        <v>0</v>
      </c>
      <c r="V23" s="176"/>
      <c r="W23" s="173">
        <v>0</v>
      </c>
      <c r="X23" s="217">
        <v>0</v>
      </c>
      <c r="Y23" s="176"/>
      <c r="Z23" s="220">
        <v>-3000</v>
      </c>
      <c r="AA23" s="221">
        <v>1615.4290112243</v>
      </c>
      <c r="AB23" s="221">
        <v>116812.05230891251</v>
      </c>
      <c r="AC23" s="222">
        <v>115427.48132013681</v>
      </c>
      <c r="AD23" s="221">
        <v>29669.477129509563</v>
      </c>
      <c r="AE23" s="223">
        <v>131946.19609996516</v>
      </c>
      <c r="AF23" s="118"/>
      <c r="AG23" s="118"/>
    </row>
    <row r="24" spans="1:33" ht="15.75" customHeight="1" thickTop="1" thickBot="1" x14ac:dyDescent="0.3">
      <c r="A24" s="64">
        <v>9</v>
      </c>
      <c r="B24" s="258">
        <v>1000</v>
      </c>
      <c r="C24" s="259">
        <v>0</v>
      </c>
      <c r="D24" s="258">
        <v>20</v>
      </c>
      <c r="E24" s="249">
        <v>7000</v>
      </c>
      <c r="F24" s="249">
        <v>7000</v>
      </c>
      <c r="G24" s="249">
        <v>6000</v>
      </c>
      <c r="H24" s="249">
        <v>1000</v>
      </c>
      <c r="I24" s="249">
        <v>5</v>
      </c>
      <c r="J24" s="249"/>
      <c r="K24" s="249"/>
      <c r="L24" s="264"/>
      <c r="M24" s="179">
        <v>22025</v>
      </c>
      <c r="N24" s="244">
        <v>100</v>
      </c>
      <c r="O24" s="245">
        <v>5000</v>
      </c>
      <c r="P24" s="181">
        <v>27125</v>
      </c>
      <c r="Q24" s="217">
        <v>34361.138457639085</v>
      </c>
      <c r="R24" s="176"/>
      <c r="S24" s="218">
        <v>500</v>
      </c>
      <c r="T24" s="252">
        <v>3</v>
      </c>
      <c r="U24" s="219">
        <v>637.18535093797084</v>
      </c>
      <c r="V24" s="176"/>
      <c r="W24" s="173">
        <v>33723.953106701112</v>
      </c>
      <c r="X24" s="217">
        <v>14302.248194657297</v>
      </c>
      <c r="Y24" s="176"/>
      <c r="Z24" s="220">
        <v>-4000</v>
      </c>
      <c r="AA24" s="221">
        <v>2252.6143621622709</v>
      </c>
      <c r="AB24" s="221">
        <v>107575.91385127342</v>
      </c>
      <c r="AC24" s="222">
        <v>105828.5282134357</v>
      </c>
      <c r="AD24" s="221">
        <v>-3164.3916633062654</v>
      </c>
      <c r="AE24" s="223">
        <v>128781.8044366589</v>
      </c>
      <c r="AF24" s="118"/>
      <c r="AG24" s="118"/>
    </row>
    <row r="25" spans="1:33" ht="15.75" customHeight="1" thickTop="1" thickBot="1" x14ac:dyDescent="0.3">
      <c r="A25" s="64">
        <v>10</v>
      </c>
      <c r="B25" s="258"/>
      <c r="C25" s="259"/>
      <c r="D25" s="258"/>
      <c r="E25" s="249"/>
      <c r="F25" s="249"/>
      <c r="G25" s="249"/>
      <c r="H25" s="249"/>
      <c r="I25" s="249"/>
      <c r="J25" s="249"/>
      <c r="K25" s="249"/>
      <c r="L25" s="264"/>
      <c r="M25" s="179">
        <v>0</v>
      </c>
      <c r="N25" s="244"/>
      <c r="O25" s="245"/>
      <c r="P25" s="181">
        <v>0</v>
      </c>
      <c r="Q25" s="217">
        <v>0</v>
      </c>
      <c r="R25" s="176"/>
      <c r="S25" s="218">
        <v>0</v>
      </c>
      <c r="T25" s="252"/>
      <c r="U25" s="219">
        <v>0</v>
      </c>
      <c r="V25" s="176"/>
      <c r="W25" s="173">
        <v>0</v>
      </c>
      <c r="X25" s="217">
        <v>0</v>
      </c>
      <c r="Y25" s="176"/>
      <c r="Z25" s="220">
        <v>-4000</v>
      </c>
      <c r="AA25" s="221">
        <v>2252.6143621622709</v>
      </c>
      <c r="AB25" s="221">
        <v>132700.91385127342</v>
      </c>
      <c r="AC25" s="222">
        <v>130953.5282134357</v>
      </c>
      <c r="AD25" s="221">
        <v>31476.348286696692</v>
      </c>
      <c r="AE25" s="223">
        <v>160258.1527233556</v>
      </c>
      <c r="AF25" s="118"/>
      <c r="AG25" s="118"/>
    </row>
    <row r="26" spans="1:33" ht="15.75" customHeight="1" thickTop="1" thickBot="1" x14ac:dyDescent="0.3">
      <c r="A26" s="64"/>
      <c r="B26" s="258"/>
      <c r="C26" s="259"/>
      <c r="D26" s="258"/>
      <c r="E26" s="249"/>
      <c r="F26" s="249"/>
      <c r="G26" s="249"/>
      <c r="H26" s="249"/>
      <c r="I26" s="249"/>
      <c r="J26" s="249"/>
      <c r="K26" s="249"/>
      <c r="L26" s="264"/>
      <c r="M26" s="179">
        <v>0</v>
      </c>
      <c r="N26" s="244"/>
      <c r="O26" s="245"/>
      <c r="P26" s="181">
        <v>0</v>
      </c>
      <c r="Q26" s="217">
        <v>0</v>
      </c>
      <c r="R26" s="176"/>
      <c r="S26" s="218">
        <v>0</v>
      </c>
      <c r="T26" s="252"/>
      <c r="U26" s="219">
        <v>0</v>
      </c>
      <c r="V26" s="176"/>
      <c r="W26" s="173">
        <v>0</v>
      </c>
      <c r="X26" s="217">
        <v>0</v>
      </c>
      <c r="Y26" s="176"/>
      <c r="Z26" s="220">
        <v>0</v>
      </c>
      <c r="AA26" s="221">
        <v>0</v>
      </c>
      <c r="AB26" s="221">
        <v>0</v>
      </c>
      <c r="AC26" s="222">
        <v>0</v>
      </c>
      <c r="AD26" s="221">
        <v>0</v>
      </c>
      <c r="AE26" s="223">
        <v>0</v>
      </c>
      <c r="AF26" s="118"/>
      <c r="AG26" s="118"/>
    </row>
    <row r="27" spans="1:33" ht="15.75" customHeight="1" thickTop="1" thickBot="1" x14ac:dyDescent="0.3">
      <c r="A27" s="64"/>
      <c r="B27" s="258">
        <v>500</v>
      </c>
      <c r="C27" s="259">
        <v>0</v>
      </c>
      <c r="D27" s="258">
        <v>10</v>
      </c>
      <c r="E27" s="249">
        <v>4000</v>
      </c>
      <c r="F27" s="249">
        <v>6000</v>
      </c>
      <c r="G27" s="249">
        <v>6000</v>
      </c>
      <c r="H27" s="249">
        <v>1000</v>
      </c>
      <c r="I27" s="249">
        <v>5</v>
      </c>
      <c r="J27" s="249"/>
      <c r="K27" s="249"/>
      <c r="L27" s="264"/>
      <c r="M27" s="179">
        <v>17515</v>
      </c>
      <c r="N27" s="244">
        <v>90</v>
      </c>
      <c r="O27" s="245">
        <v>4000</v>
      </c>
      <c r="P27" s="181">
        <v>21605</v>
      </c>
      <c r="Q27" s="217">
        <v>20975.728155339806</v>
      </c>
      <c r="R27" s="176"/>
      <c r="S27" s="218">
        <v>250</v>
      </c>
      <c r="T27" s="252">
        <v>5</v>
      </c>
      <c r="U27" s="219">
        <v>247.57281553398059</v>
      </c>
      <c r="V27" s="176"/>
      <c r="W27" s="173">
        <v>20728.155339805824</v>
      </c>
      <c r="X27" s="217">
        <v>20728.155339805824</v>
      </c>
      <c r="Y27" s="176"/>
      <c r="Z27" s="220">
        <v>0</v>
      </c>
      <c r="AA27" s="221">
        <v>0</v>
      </c>
      <c r="AB27" s="221">
        <v>0</v>
      </c>
      <c r="AC27" s="222">
        <v>0</v>
      </c>
      <c r="AD27" s="221">
        <v>0</v>
      </c>
      <c r="AE27" s="223">
        <v>0</v>
      </c>
      <c r="AF27" s="62"/>
      <c r="AG27" s="62"/>
    </row>
    <row r="28" spans="1:33" ht="15.75" customHeight="1" thickTop="1" thickBot="1" x14ac:dyDescent="0.3">
      <c r="A28" s="64"/>
      <c r="B28" s="258"/>
      <c r="C28" s="259"/>
      <c r="D28" s="258"/>
      <c r="E28" s="249"/>
      <c r="F28" s="249"/>
      <c r="G28" s="249"/>
      <c r="H28" s="249"/>
      <c r="I28" s="249"/>
      <c r="J28" s="249"/>
      <c r="K28" s="249"/>
      <c r="L28" s="264"/>
      <c r="M28" s="179">
        <v>0</v>
      </c>
      <c r="N28" s="244"/>
      <c r="O28" s="245"/>
      <c r="P28" s="181">
        <v>0</v>
      </c>
      <c r="Q28" s="217">
        <v>0</v>
      </c>
      <c r="R28" s="176"/>
      <c r="S28" s="218">
        <v>0</v>
      </c>
      <c r="T28" s="252"/>
      <c r="U28" s="219">
        <v>0</v>
      </c>
      <c r="V28" s="176"/>
      <c r="W28" s="173">
        <v>0</v>
      </c>
      <c r="X28" s="217">
        <v>0</v>
      </c>
      <c r="Y28" s="176"/>
      <c r="Z28" s="220">
        <v>0</v>
      </c>
      <c r="AA28" s="221">
        <v>0</v>
      </c>
      <c r="AB28" s="221">
        <v>0</v>
      </c>
      <c r="AC28" s="222">
        <v>0</v>
      </c>
      <c r="AD28" s="221">
        <v>0</v>
      </c>
      <c r="AE28" s="223">
        <v>0</v>
      </c>
      <c r="AF28" s="118"/>
      <c r="AG28" s="118"/>
    </row>
    <row r="29" spans="1:33" ht="15.75" customHeight="1" thickTop="1" thickBot="1" x14ac:dyDescent="0.3">
      <c r="A29" s="64"/>
      <c r="B29" s="258"/>
      <c r="C29" s="259"/>
      <c r="D29" s="258"/>
      <c r="E29" s="249"/>
      <c r="F29" s="249"/>
      <c r="G29" s="249"/>
      <c r="H29" s="249"/>
      <c r="I29" s="249"/>
      <c r="J29" s="249"/>
      <c r="K29" s="249"/>
      <c r="L29" s="264"/>
      <c r="M29" s="179">
        <v>0</v>
      </c>
      <c r="N29" s="244"/>
      <c r="O29" s="245"/>
      <c r="P29" s="181">
        <v>0</v>
      </c>
      <c r="Q29" s="217">
        <v>0</v>
      </c>
      <c r="R29" s="176"/>
      <c r="S29" s="218">
        <v>0</v>
      </c>
      <c r="T29" s="252"/>
      <c r="U29" s="219">
        <v>0</v>
      </c>
      <c r="V29" s="176"/>
      <c r="W29" s="173">
        <v>0</v>
      </c>
      <c r="X29" s="217">
        <v>0</v>
      </c>
      <c r="Y29" s="176"/>
      <c r="Z29" s="220">
        <v>0</v>
      </c>
      <c r="AA29" s="221">
        <v>0</v>
      </c>
      <c r="AB29" s="221">
        <v>0</v>
      </c>
      <c r="AC29" s="222">
        <v>0</v>
      </c>
      <c r="AD29" s="221">
        <v>0</v>
      </c>
      <c r="AE29" s="223">
        <v>0</v>
      </c>
      <c r="AF29" s="118"/>
      <c r="AG29" s="118"/>
    </row>
    <row r="30" spans="1:33" ht="15.75" customHeight="1" thickTop="1" thickBot="1" x14ac:dyDescent="0.3">
      <c r="A30" s="64"/>
      <c r="B30" s="258">
        <v>500</v>
      </c>
      <c r="C30" s="259">
        <v>0</v>
      </c>
      <c r="D30" s="258">
        <v>10</v>
      </c>
      <c r="E30" s="249">
        <v>4000</v>
      </c>
      <c r="F30" s="249">
        <v>4000</v>
      </c>
      <c r="G30" s="249">
        <v>6000</v>
      </c>
      <c r="H30" s="249">
        <v>750</v>
      </c>
      <c r="I30" s="249">
        <v>5</v>
      </c>
      <c r="J30" s="249"/>
      <c r="K30" s="249"/>
      <c r="L30" s="264"/>
      <c r="M30" s="179">
        <v>15265</v>
      </c>
      <c r="N30" s="244">
        <v>80</v>
      </c>
      <c r="O30" s="245">
        <v>3500</v>
      </c>
      <c r="P30" s="181">
        <v>18845</v>
      </c>
      <c r="Q30" s="217">
        <v>18296.11650485437</v>
      </c>
      <c r="R30" s="176"/>
      <c r="S30" s="218">
        <v>250</v>
      </c>
      <c r="T30" s="252">
        <v>6</v>
      </c>
      <c r="U30" s="219">
        <v>248.54368932038835</v>
      </c>
      <c r="V30" s="176"/>
      <c r="W30" s="173">
        <v>18047.572815533982</v>
      </c>
      <c r="X30" s="217">
        <v>18047.572815533982</v>
      </c>
      <c r="Y30" s="176"/>
      <c r="Z30" s="220">
        <v>0</v>
      </c>
      <c r="AA30" s="221">
        <v>0</v>
      </c>
      <c r="AB30" s="221">
        <v>0</v>
      </c>
      <c r="AC30" s="222">
        <v>0</v>
      </c>
      <c r="AD30" s="221">
        <v>0</v>
      </c>
      <c r="AE30" s="223">
        <v>0</v>
      </c>
      <c r="AF30" s="118"/>
      <c r="AG30" s="118"/>
    </row>
    <row r="31" spans="1:33" ht="15.75" customHeight="1" thickTop="1" thickBot="1" x14ac:dyDescent="0.3">
      <c r="A31" s="64"/>
      <c r="B31" s="258"/>
      <c r="C31" s="259"/>
      <c r="D31" s="258"/>
      <c r="E31" s="249"/>
      <c r="F31" s="249"/>
      <c r="G31" s="249"/>
      <c r="H31" s="249"/>
      <c r="I31" s="249"/>
      <c r="J31" s="249"/>
      <c r="K31" s="249"/>
      <c r="L31" s="264"/>
      <c r="M31" s="179">
        <v>0</v>
      </c>
      <c r="N31" s="244"/>
      <c r="O31" s="245"/>
      <c r="P31" s="181">
        <v>0</v>
      </c>
      <c r="Q31" s="217">
        <v>0</v>
      </c>
      <c r="R31" s="176"/>
      <c r="S31" s="218">
        <v>0</v>
      </c>
      <c r="T31" s="252"/>
      <c r="U31" s="219">
        <v>0</v>
      </c>
      <c r="V31" s="176"/>
      <c r="W31" s="173">
        <v>0</v>
      </c>
      <c r="X31" s="217">
        <v>0</v>
      </c>
      <c r="Y31" s="176"/>
      <c r="Z31" s="220">
        <v>0</v>
      </c>
      <c r="AA31" s="221">
        <v>0</v>
      </c>
      <c r="AB31" s="221">
        <v>0</v>
      </c>
      <c r="AC31" s="222">
        <v>0</v>
      </c>
      <c r="AD31" s="221">
        <v>0</v>
      </c>
      <c r="AE31" s="223">
        <v>0</v>
      </c>
      <c r="AF31" s="62"/>
      <c r="AG31" s="62"/>
    </row>
    <row r="32" spans="1:33" ht="15.75" customHeight="1" thickTop="1" thickBot="1" x14ac:dyDescent="0.3">
      <c r="A32" s="64"/>
      <c r="B32" s="258"/>
      <c r="C32" s="259"/>
      <c r="D32" s="258"/>
      <c r="E32" s="249"/>
      <c r="F32" s="249"/>
      <c r="G32" s="249"/>
      <c r="H32" s="249"/>
      <c r="I32" s="249"/>
      <c r="J32" s="249"/>
      <c r="K32" s="249"/>
      <c r="L32" s="264"/>
      <c r="M32" s="179">
        <v>0</v>
      </c>
      <c r="N32" s="244"/>
      <c r="O32" s="245"/>
      <c r="P32" s="181">
        <v>0</v>
      </c>
      <c r="Q32" s="217">
        <v>0</v>
      </c>
      <c r="R32" s="176"/>
      <c r="S32" s="218">
        <v>0</v>
      </c>
      <c r="T32" s="252"/>
      <c r="U32" s="219">
        <v>0</v>
      </c>
      <c r="V32" s="176"/>
      <c r="W32" s="173">
        <v>0</v>
      </c>
      <c r="X32" s="217">
        <v>0</v>
      </c>
      <c r="Y32" s="176"/>
      <c r="Z32" s="220">
        <v>0</v>
      </c>
      <c r="AA32" s="221">
        <v>0</v>
      </c>
      <c r="AB32" s="221">
        <v>0</v>
      </c>
      <c r="AC32" s="222">
        <v>0</v>
      </c>
      <c r="AD32" s="221">
        <v>0</v>
      </c>
      <c r="AE32" s="223">
        <v>0</v>
      </c>
      <c r="AF32" s="85"/>
      <c r="AG32" s="85"/>
    </row>
    <row r="33" spans="1:33" ht="15.75" customHeight="1" thickTop="1" thickBot="1" x14ac:dyDescent="0.3">
      <c r="A33" s="64"/>
      <c r="B33" s="258">
        <v>0</v>
      </c>
      <c r="C33" s="259">
        <v>0</v>
      </c>
      <c r="D33" s="258">
        <v>5</v>
      </c>
      <c r="E33" s="249">
        <v>3000</v>
      </c>
      <c r="F33" s="249">
        <v>4000</v>
      </c>
      <c r="G33" s="249">
        <v>5000</v>
      </c>
      <c r="H33" s="249">
        <v>750</v>
      </c>
      <c r="I33" s="249">
        <v>4</v>
      </c>
      <c r="J33" s="249"/>
      <c r="K33" s="249"/>
      <c r="L33" s="264"/>
      <c r="M33" s="179">
        <v>12759</v>
      </c>
      <c r="N33" s="244">
        <v>70</v>
      </c>
      <c r="O33" s="245">
        <v>2500</v>
      </c>
      <c r="P33" s="181">
        <v>15329</v>
      </c>
      <c r="Q33" s="217">
        <v>14882.524271844661</v>
      </c>
      <c r="R33" s="176"/>
      <c r="S33" s="218">
        <v>0</v>
      </c>
      <c r="T33" s="252">
        <v>7</v>
      </c>
      <c r="U33" s="219">
        <v>6.7961165048543695</v>
      </c>
      <c r="V33" s="176"/>
      <c r="W33" s="173">
        <v>14875.728155339806</v>
      </c>
      <c r="X33" s="217">
        <v>14875.728155339806</v>
      </c>
      <c r="Y33" s="176"/>
      <c r="Z33" s="220">
        <v>0</v>
      </c>
      <c r="AA33" s="221">
        <v>0</v>
      </c>
      <c r="AB33" s="221">
        <v>0</v>
      </c>
      <c r="AC33" s="222">
        <v>0</v>
      </c>
      <c r="AD33" s="221">
        <v>0</v>
      </c>
      <c r="AE33" s="223">
        <v>0</v>
      </c>
      <c r="AF33" s="118"/>
      <c r="AG33" s="118"/>
    </row>
    <row r="34" spans="1:33" ht="15.75" customHeight="1" thickTop="1" thickBot="1" x14ac:dyDescent="0.3">
      <c r="A34" s="64"/>
      <c r="B34" s="258"/>
      <c r="C34" s="259"/>
      <c r="D34" s="258"/>
      <c r="E34" s="249"/>
      <c r="F34" s="249"/>
      <c r="G34" s="249"/>
      <c r="H34" s="249"/>
      <c r="I34" s="249"/>
      <c r="J34" s="249"/>
      <c r="K34" s="249"/>
      <c r="L34" s="264"/>
      <c r="M34" s="179">
        <v>0</v>
      </c>
      <c r="N34" s="244"/>
      <c r="O34" s="245"/>
      <c r="P34" s="181">
        <v>0</v>
      </c>
      <c r="Q34" s="217">
        <v>0</v>
      </c>
      <c r="R34" s="176"/>
      <c r="S34" s="218">
        <v>0</v>
      </c>
      <c r="T34" s="252"/>
      <c r="U34" s="219">
        <v>0</v>
      </c>
      <c r="V34" s="176"/>
      <c r="W34" s="173">
        <v>0</v>
      </c>
      <c r="X34" s="217">
        <v>0</v>
      </c>
      <c r="Y34" s="176"/>
      <c r="Z34" s="220">
        <v>0</v>
      </c>
      <c r="AA34" s="221">
        <v>0</v>
      </c>
      <c r="AB34" s="221">
        <v>0</v>
      </c>
      <c r="AC34" s="222">
        <v>0</v>
      </c>
      <c r="AD34" s="221">
        <v>0</v>
      </c>
      <c r="AE34" s="223">
        <v>0</v>
      </c>
      <c r="AF34" s="62"/>
      <c r="AG34" s="62"/>
    </row>
    <row r="35" spans="1:33" ht="15.75" customHeight="1" thickTop="1" thickBot="1" x14ac:dyDescent="0.3">
      <c r="A35" s="64"/>
      <c r="B35" s="258"/>
      <c r="C35" s="259"/>
      <c r="D35" s="258"/>
      <c r="E35" s="249"/>
      <c r="F35" s="249"/>
      <c r="G35" s="249"/>
      <c r="H35" s="249"/>
      <c r="I35" s="249"/>
      <c r="J35" s="249"/>
      <c r="K35" s="249"/>
      <c r="L35" s="264"/>
      <c r="M35" s="179">
        <v>0</v>
      </c>
      <c r="N35" s="244"/>
      <c r="O35" s="245"/>
      <c r="P35" s="181">
        <v>0</v>
      </c>
      <c r="Q35" s="217">
        <v>0</v>
      </c>
      <c r="R35" s="176"/>
      <c r="S35" s="218">
        <v>0</v>
      </c>
      <c r="T35" s="252"/>
      <c r="U35" s="219">
        <v>0</v>
      </c>
      <c r="V35" s="176"/>
      <c r="W35" s="173">
        <v>0</v>
      </c>
      <c r="X35" s="217">
        <v>0</v>
      </c>
      <c r="Y35" s="176"/>
      <c r="Z35" s="220">
        <v>0</v>
      </c>
      <c r="AA35" s="221">
        <v>0</v>
      </c>
      <c r="AB35" s="221">
        <v>0</v>
      </c>
      <c r="AC35" s="222">
        <v>0</v>
      </c>
      <c r="AD35" s="221">
        <v>0</v>
      </c>
      <c r="AE35" s="223">
        <v>0</v>
      </c>
      <c r="AF35" s="62"/>
      <c r="AG35" s="62"/>
    </row>
    <row r="36" spans="1:33" ht="15.75" customHeight="1" thickTop="1" thickBot="1" x14ac:dyDescent="0.3">
      <c r="A36" s="64"/>
      <c r="B36" s="258">
        <v>0</v>
      </c>
      <c r="C36" s="259">
        <v>0</v>
      </c>
      <c r="D36" s="258">
        <v>5</v>
      </c>
      <c r="E36" s="249">
        <v>3000</v>
      </c>
      <c r="F36" s="249">
        <v>3500</v>
      </c>
      <c r="G36" s="249">
        <v>4000</v>
      </c>
      <c r="H36" s="249">
        <v>750</v>
      </c>
      <c r="I36" s="249">
        <v>4</v>
      </c>
      <c r="J36" s="249"/>
      <c r="K36" s="249"/>
      <c r="L36" s="264"/>
      <c r="M36" s="179">
        <v>11259</v>
      </c>
      <c r="N36" s="244">
        <v>60</v>
      </c>
      <c r="O36" s="245">
        <v>2000</v>
      </c>
      <c r="P36" s="181">
        <v>13319</v>
      </c>
      <c r="Q36" s="217">
        <v>12931.067961165048</v>
      </c>
      <c r="R36" s="176"/>
      <c r="S36" s="218">
        <v>0</v>
      </c>
      <c r="T36" s="252">
        <v>8</v>
      </c>
      <c r="U36" s="219">
        <v>7.766990291262136</v>
      </c>
      <c r="V36" s="176"/>
      <c r="W36" s="173">
        <v>12923.300970873786</v>
      </c>
      <c r="X36" s="217">
        <v>12923.300970873786</v>
      </c>
      <c r="Y36" s="176"/>
      <c r="Z36" s="220">
        <v>0</v>
      </c>
      <c r="AA36" s="221">
        <v>0</v>
      </c>
      <c r="AB36" s="221">
        <v>0</v>
      </c>
      <c r="AC36" s="222">
        <v>0</v>
      </c>
      <c r="AD36" s="221">
        <v>0</v>
      </c>
      <c r="AE36" s="223">
        <v>0</v>
      </c>
      <c r="AF36" s="62"/>
      <c r="AG36" s="62"/>
    </row>
    <row r="37" spans="1:33" ht="15.75" customHeight="1" thickTop="1" thickBot="1" x14ac:dyDescent="0.3">
      <c r="A37" s="64"/>
      <c r="B37" s="258"/>
      <c r="C37" s="259"/>
      <c r="D37" s="258"/>
      <c r="E37" s="249"/>
      <c r="F37" s="249"/>
      <c r="G37" s="249"/>
      <c r="H37" s="249"/>
      <c r="I37" s="249"/>
      <c r="J37" s="249"/>
      <c r="K37" s="249"/>
      <c r="L37" s="264"/>
      <c r="M37" s="179">
        <v>0</v>
      </c>
      <c r="N37" s="244"/>
      <c r="O37" s="245"/>
      <c r="P37" s="181">
        <v>0</v>
      </c>
      <c r="Q37" s="217">
        <v>0</v>
      </c>
      <c r="R37" s="176"/>
      <c r="S37" s="218">
        <v>0</v>
      </c>
      <c r="T37" s="252"/>
      <c r="U37" s="219">
        <v>0</v>
      </c>
      <c r="V37" s="176"/>
      <c r="W37" s="173">
        <v>0</v>
      </c>
      <c r="X37" s="217">
        <v>0</v>
      </c>
      <c r="Y37" s="176"/>
      <c r="Z37" s="220">
        <v>0</v>
      </c>
      <c r="AA37" s="221">
        <v>0</v>
      </c>
      <c r="AB37" s="221">
        <v>0</v>
      </c>
      <c r="AC37" s="222">
        <v>0</v>
      </c>
      <c r="AD37" s="221">
        <v>0</v>
      </c>
      <c r="AE37" s="223">
        <v>0</v>
      </c>
      <c r="AF37" s="62"/>
      <c r="AG37" s="62"/>
    </row>
    <row r="38" spans="1:33" ht="15.75" customHeight="1" thickTop="1" thickBot="1" x14ac:dyDescent="0.3">
      <c r="A38" s="64"/>
      <c r="B38" s="258"/>
      <c r="C38" s="259"/>
      <c r="D38" s="258"/>
      <c r="E38" s="249"/>
      <c r="F38" s="249"/>
      <c r="G38" s="249"/>
      <c r="H38" s="249"/>
      <c r="I38" s="249"/>
      <c r="J38" s="249"/>
      <c r="K38" s="249"/>
      <c r="L38" s="264"/>
      <c r="M38" s="179">
        <v>0</v>
      </c>
      <c r="N38" s="244"/>
      <c r="O38" s="245"/>
      <c r="P38" s="181">
        <v>0</v>
      </c>
      <c r="Q38" s="217">
        <v>0</v>
      </c>
      <c r="R38" s="176"/>
      <c r="S38" s="218">
        <v>0</v>
      </c>
      <c r="T38" s="252"/>
      <c r="U38" s="219">
        <v>0</v>
      </c>
      <c r="V38" s="176"/>
      <c r="W38" s="173">
        <v>0</v>
      </c>
      <c r="X38" s="217">
        <v>0</v>
      </c>
      <c r="Y38" s="176"/>
      <c r="Z38" s="220">
        <v>0</v>
      </c>
      <c r="AA38" s="221">
        <v>0</v>
      </c>
      <c r="AB38" s="221">
        <v>0</v>
      </c>
      <c r="AC38" s="222">
        <v>0</v>
      </c>
      <c r="AD38" s="221">
        <v>0</v>
      </c>
      <c r="AE38" s="223">
        <v>0</v>
      </c>
      <c r="AF38" s="62"/>
      <c r="AG38" s="62"/>
    </row>
    <row r="39" spans="1:33" ht="15.75" customHeight="1" thickTop="1" thickBot="1" x14ac:dyDescent="0.3">
      <c r="A39" s="64"/>
      <c r="B39" s="258">
        <v>0</v>
      </c>
      <c r="C39" s="259">
        <v>0</v>
      </c>
      <c r="D39" s="258">
        <v>5</v>
      </c>
      <c r="E39" s="249">
        <v>3000</v>
      </c>
      <c r="F39" s="249">
        <v>3000</v>
      </c>
      <c r="G39" s="249">
        <v>2000</v>
      </c>
      <c r="H39" s="249">
        <v>750</v>
      </c>
      <c r="I39" s="249">
        <v>3</v>
      </c>
      <c r="J39" s="249"/>
      <c r="K39" s="249"/>
      <c r="L39" s="264"/>
      <c r="M39" s="179">
        <v>8758</v>
      </c>
      <c r="N39" s="244">
        <v>50</v>
      </c>
      <c r="O39" s="245">
        <v>2000</v>
      </c>
      <c r="P39" s="181">
        <v>10808</v>
      </c>
      <c r="Q39" s="217">
        <v>10493.203883495145</v>
      </c>
      <c r="R39" s="176"/>
      <c r="S39" s="218">
        <v>0</v>
      </c>
      <c r="T39" s="252">
        <v>9</v>
      </c>
      <c r="U39" s="219">
        <v>8.7378640776699026</v>
      </c>
      <c r="V39" s="176"/>
      <c r="W39" s="173">
        <v>10484.466019417476</v>
      </c>
      <c r="X39" s="217">
        <v>10484.466019417476</v>
      </c>
      <c r="Y39" s="176"/>
      <c r="Z39" s="220">
        <v>0</v>
      </c>
      <c r="AA39" s="221">
        <v>0</v>
      </c>
      <c r="AB39" s="221">
        <v>0</v>
      </c>
      <c r="AC39" s="222">
        <v>0</v>
      </c>
      <c r="AD39" s="221">
        <v>0</v>
      </c>
      <c r="AE39" s="223">
        <v>0</v>
      </c>
      <c r="AF39" s="62"/>
      <c r="AG39" s="62"/>
    </row>
    <row r="40" spans="1:33" ht="15.75" customHeight="1" thickTop="1" thickBot="1" x14ac:dyDescent="0.3">
      <c r="A40" s="64"/>
      <c r="B40" s="258"/>
      <c r="C40" s="259"/>
      <c r="D40" s="258"/>
      <c r="E40" s="249"/>
      <c r="F40" s="249"/>
      <c r="G40" s="249"/>
      <c r="H40" s="249"/>
      <c r="I40" s="249"/>
      <c r="J40" s="249"/>
      <c r="K40" s="249"/>
      <c r="L40" s="264"/>
      <c r="M40" s="179">
        <v>0</v>
      </c>
      <c r="N40" s="244"/>
      <c r="O40" s="245"/>
      <c r="P40" s="181">
        <v>0</v>
      </c>
      <c r="Q40" s="217">
        <v>0</v>
      </c>
      <c r="R40" s="176"/>
      <c r="S40" s="218">
        <v>0</v>
      </c>
      <c r="T40" s="252"/>
      <c r="U40" s="219">
        <v>0</v>
      </c>
      <c r="V40" s="176"/>
      <c r="W40" s="173">
        <v>0</v>
      </c>
      <c r="X40" s="217">
        <v>0</v>
      </c>
      <c r="Y40" s="176"/>
      <c r="Z40" s="220">
        <v>0</v>
      </c>
      <c r="AA40" s="221">
        <v>0</v>
      </c>
      <c r="AB40" s="221">
        <v>0</v>
      </c>
      <c r="AC40" s="222">
        <v>0</v>
      </c>
      <c r="AD40" s="221">
        <v>0</v>
      </c>
      <c r="AE40" s="223">
        <v>0</v>
      </c>
      <c r="AF40" s="62"/>
      <c r="AG40" s="62"/>
    </row>
    <row r="41" spans="1:33" ht="15.75" customHeight="1" thickTop="1" thickBot="1" x14ac:dyDescent="0.3">
      <c r="A41" s="63"/>
      <c r="B41" s="258"/>
      <c r="C41" s="259"/>
      <c r="D41" s="258"/>
      <c r="E41" s="249"/>
      <c r="F41" s="249"/>
      <c r="G41" s="249"/>
      <c r="H41" s="249"/>
      <c r="I41" s="249"/>
      <c r="J41" s="249"/>
      <c r="K41" s="249"/>
      <c r="L41" s="264"/>
      <c r="M41" s="179">
        <v>0</v>
      </c>
      <c r="N41" s="244"/>
      <c r="O41" s="245"/>
      <c r="P41" s="181">
        <v>0</v>
      </c>
      <c r="Q41" s="217">
        <v>0</v>
      </c>
      <c r="R41" s="176"/>
      <c r="S41" s="218">
        <v>0</v>
      </c>
      <c r="T41" s="252"/>
      <c r="U41" s="219">
        <v>0</v>
      </c>
      <c r="V41" s="176"/>
      <c r="W41" s="174">
        <v>0</v>
      </c>
      <c r="X41" s="217">
        <v>0</v>
      </c>
      <c r="Y41" s="176"/>
      <c r="Z41" s="220">
        <v>0</v>
      </c>
      <c r="AA41" s="221">
        <v>0</v>
      </c>
      <c r="AB41" s="221">
        <v>0</v>
      </c>
      <c r="AC41" s="222">
        <v>0</v>
      </c>
      <c r="AD41" s="221">
        <v>0</v>
      </c>
      <c r="AE41" s="223">
        <v>0</v>
      </c>
      <c r="AF41" s="62"/>
      <c r="AG41" s="62"/>
    </row>
    <row r="42" spans="1:33" ht="15.75" customHeight="1" thickTop="1" thickBot="1" x14ac:dyDescent="0.3">
      <c r="A42" s="63"/>
      <c r="B42" s="258">
        <v>0</v>
      </c>
      <c r="C42" s="259">
        <v>0</v>
      </c>
      <c r="D42" s="258">
        <v>5</v>
      </c>
      <c r="E42" s="249">
        <v>3000</v>
      </c>
      <c r="F42" s="249">
        <v>2500</v>
      </c>
      <c r="G42" s="249">
        <v>2000</v>
      </c>
      <c r="H42" s="249">
        <v>600</v>
      </c>
      <c r="I42" s="249">
        <v>3</v>
      </c>
      <c r="J42" s="249"/>
      <c r="K42" s="249"/>
      <c r="L42" s="264"/>
      <c r="M42" s="179">
        <v>8108</v>
      </c>
      <c r="N42" s="244">
        <v>40</v>
      </c>
      <c r="O42" s="245">
        <v>1000</v>
      </c>
      <c r="P42" s="181">
        <v>9148</v>
      </c>
      <c r="Q42" s="217">
        <v>8881.5533980582532</v>
      </c>
      <c r="R42" s="176"/>
      <c r="S42" s="218">
        <v>0</v>
      </c>
      <c r="T42" s="252">
        <v>10</v>
      </c>
      <c r="U42" s="219">
        <v>9.7087378640776691</v>
      </c>
      <c r="V42" s="176"/>
      <c r="W42" s="173">
        <v>8871.844660194176</v>
      </c>
      <c r="X42" s="217">
        <v>8871.844660194176</v>
      </c>
      <c r="Y42" s="176"/>
      <c r="Z42" s="220">
        <v>0</v>
      </c>
      <c r="AA42" s="221">
        <v>0</v>
      </c>
      <c r="AB42" s="221">
        <v>0</v>
      </c>
      <c r="AC42" s="222">
        <v>0</v>
      </c>
      <c r="AD42" s="221">
        <v>0</v>
      </c>
      <c r="AE42" s="223">
        <v>0</v>
      </c>
      <c r="AF42" s="62"/>
      <c r="AG42" s="62"/>
    </row>
    <row r="43" spans="1:33" ht="15.75" customHeight="1" thickTop="1" thickBot="1" x14ac:dyDescent="0.3">
      <c r="A43" s="63"/>
      <c r="B43" s="258"/>
      <c r="C43" s="259"/>
      <c r="D43" s="258"/>
      <c r="E43" s="249"/>
      <c r="F43" s="249"/>
      <c r="G43" s="249"/>
      <c r="H43" s="249"/>
      <c r="I43" s="249"/>
      <c r="J43" s="249"/>
      <c r="K43" s="249"/>
      <c r="L43" s="264"/>
      <c r="M43" s="180">
        <v>0</v>
      </c>
      <c r="N43" s="244"/>
      <c r="O43" s="245"/>
      <c r="P43" s="181">
        <v>0</v>
      </c>
      <c r="Q43" s="217">
        <v>0</v>
      </c>
      <c r="R43" s="176"/>
      <c r="S43" s="218">
        <v>0</v>
      </c>
      <c r="T43" s="252"/>
      <c r="U43" s="219">
        <v>0</v>
      </c>
      <c r="V43" s="176"/>
      <c r="W43" s="174">
        <v>0</v>
      </c>
      <c r="X43" s="217">
        <v>0</v>
      </c>
      <c r="Y43" s="176"/>
      <c r="Z43" s="220">
        <v>0</v>
      </c>
      <c r="AA43" s="221">
        <v>0</v>
      </c>
      <c r="AB43" s="221">
        <v>0</v>
      </c>
      <c r="AC43" s="222">
        <v>0</v>
      </c>
      <c r="AD43" s="221">
        <v>0</v>
      </c>
      <c r="AE43" s="223">
        <v>0</v>
      </c>
      <c r="AF43" s="62"/>
      <c r="AG43" s="62"/>
    </row>
    <row r="44" spans="1:33" ht="15.75" customHeight="1" thickTop="1" thickBot="1" x14ac:dyDescent="0.3">
      <c r="A44" s="63"/>
      <c r="B44" s="258"/>
      <c r="C44" s="259"/>
      <c r="D44" s="258"/>
      <c r="E44" s="249"/>
      <c r="F44" s="249"/>
      <c r="G44" s="249"/>
      <c r="H44" s="249"/>
      <c r="I44" s="249"/>
      <c r="J44" s="249"/>
      <c r="K44" s="249"/>
      <c r="L44" s="264"/>
      <c r="M44" s="180">
        <v>0</v>
      </c>
      <c r="N44" s="244"/>
      <c r="O44" s="245"/>
      <c r="P44" s="181">
        <v>0</v>
      </c>
      <c r="Q44" s="217">
        <v>0</v>
      </c>
      <c r="R44" s="176"/>
      <c r="S44" s="218">
        <v>0</v>
      </c>
      <c r="T44" s="252"/>
      <c r="U44" s="219">
        <v>0</v>
      </c>
      <c r="V44" s="176"/>
      <c r="W44" s="174">
        <v>0</v>
      </c>
      <c r="X44" s="217">
        <v>0</v>
      </c>
      <c r="Y44" s="176"/>
      <c r="Z44" s="220">
        <v>0</v>
      </c>
      <c r="AA44" s="221">
        <v>0</v>
      </c>
      <c r="AB44" s="221">
        <v>0</v>
      </c>
      <c r="AC44" s="222">
        <v>0</v>
      </c>
      <c r="AD44" s="221">
        <v>0</v>
      </c>
      <c r="AE44" s="223">
        <v>0</v>
      </c>
      <c r="AF44" s="62"/>
      <c r="AG44" s="62"/>
    </row>
    <row r="45" spans="1:33" ht="15.75" customHeight="1" thickTop="1" thickBot="1" x14ac:dyDescent="0.3">
      <c r="A45" s="63"/>
      <c r="B45" s="260">
        <v>0</v>
      </c>
      <c r="C45" s="261">
        <v>0</v>
      </c>
      <c r="D45" s="260">
        <v>5</v>
      </c>
      <c r="E45" s="265">
        <v>3000</v>
      </c>
      <c r="F45" s="265">
        <v>2500</v>
      </c>
      <c r="G45" s="265">
        <v>2000</v>
      </c>
      <c r="H45" s="265">
        <v>550</v>
      </c>
      <c r="I45" s="265">
        <v>2</v>
      </c>
      <c r="J45" s="265"/>
      <c r="K45" s="265"/>
      <c r="L45" s="266"/>
      <c r="M45" s="233">
        <v>8057</v>
      </c>
      <c r="N45" s="246">
        <v>30</v>
      </c>
      <c r="O45" s="247">
        <v>900</v>
      </c>
      <c r="P45" s="184">
        <v>8987</v>
      </c>
      <c r="Q45" s="224">
        <v>8725.2427184466014</v>
      </c>
      <c r="R45" s="176"/>
      <c r="S45" s="234">
        <v>0</v>
      </c>
      <c r="T45" s="253">
        <v>10</v>
      </c>
      <c r="U45" s="235">
        <v>9.7087378640776691</v>
      </c>
      <c r="V45" s="176"/>
      <c r="W45" s="236">
        <v>8715.5339805825242</v>
      </c>
      <c r="X45" s="224">
        <v>8715.5339805825242</v>
      </c>
      <c r="Y45" s="176"/>
      <c r="Z45" s="225">
        <v>0</v>
      </c>
      <c r="AA45" s="227">
        <v>0</v>
      </c>
      <c r="AB45" s="227">
        <v>0</v>
      </c>
      <c r="AC45" s="228">
        <v>0</v>
      </c>
      <c r="AD45" s="227">
        <v>0</v>
      </c>
      <c r="AE45" s="229">
        <v>0</v>
      </c>
      <c r="AF45" s="62"/>
      <c r="AG45" s="62"/>
    </row>
  </sheetData>
  <sheetProtection algorithmName="SHA-512" hashValue="N+mWTjY02NhgT3f9TYBO3P9Z3ZBmguZzl9lnASqVCjhUcZpsXF4ija/b6RoLdDDe2tcqW+PnYq9Ur+wRK39qhQ==" saltValue="VhzWgimlAtjZLpRYLub9rg==" spinCount="100000" sheet="1" objects="1" scenarios="1" formatCells="0" formatColumns="0" formatRows="0"/>
  <mergeCells count="8">
    <mergeCell ref="S13:U13"/>
    <mergeCell ref="W13:Y13"/>
    <mergeCell ref="Z13:AE13"/>
    <mergeCell ref="I3:J3"/>
    <mergeCell ref="I4:J4"/>
    <mergeCell ref="I5:J5"/>
    <mergeCell ref="I7:J7"/>
    <mergeCell ref="B13:Q13"/>
  </mergeCells>
  <pageMargins left="0.7" right="0.7" top="0.75" bottom="0.75" header="0" footer="0"/>
  <pageSetup orientation="landscape"/>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Index &amp; Definitions</vt:lpstr>
      <vt:lpstr>Summary Financial Comparisons</vt:lpstr>
      <vt:lpstr>Calculations</vt:lpstr>
      <vt:lpstr>SQ Mgmt</vt:lpstr>
      <vt:lpstr>Alt 1 Mgmt</vt:lpstr>
      <vt:lpstr>Alt 2 Mgmt</vt:lpstr>
      <vt:lpstr>Alt 3 Mgmt</vt:lpstr>
      <vt:lpstr>Alt 4 Mgmt</vt:lpstr>
      <vt:lpstr>Alt 5 Mgmt</vt:lpstr>
      <vt:lpstr>DR</vt:lpstr>
      <vt:lpstr>Inf</vt:lpstr>
      <vt:lpstr>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Grow With Trees</dc:creator>
  <cp:lastModifiedBy>Audrey Spencer</cp:lastModifiedBy>
  <dcterms:created xsi:type="dcterms:W3CDTF">2021-09-20T16:11:43Z</dcterms:created>
  <dcterms:modified xsi:type="dcterms:W3CDTF">2021-09-23T00:40:58Z</dcterms:modified>
</cp:coreProperties>
</file>